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INDICACIONES" sheetId="6" r:id="rId1"/>
    <sheet name="DATOS BÁSICOS DE PARTIDA" sheetId="5" r:id="rId2"/>
    <sheet name="BARRIDO" sheetId="4" r:id="rId3"/>
    <sheet name="RECOLECCIÓN" sheetId="3" r:id="rId4"/>
    <sheet name="DSIPOSICIÓN FINAL" sheetId="2" r:id="rId5"/>
  </sheets>
  <definedNames>
    <definedName name="_xlnm.Print_Area" localSheetId="2">BARRIDO!$A$1:$Y$113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2" l="1"/>
  <c r="E34" i="4"/>
  <c r="E36" i="3"/>
  <c r="E84" i="2"/>
  <c r="C49" i="2"/>
  <c r="C17" i="3"/>
  <c r="C16" i="4"/>
  <c r="C34" i="2"/>
  <c r="C135" i="2"/>
  <c r="C119" i="2"/>
  <c r="C107" i="2"/>
  <c r="C109" i="2"/>
  <c r="C36" i="2"/>
  <c r="C35" i="2"/>
  <c r="C99" i="2"/>
  <c r="C60" i="2"/>
  <c r="F60" i="2"/>
  <c r="H60" i="2"/>
  <c r="C29" i="2"/>
  <c r="C84" i="2"/>
  <c r="C2" i="5"/>
  <c r="C10" i="2"/>
  <c r="C9" i="2"/>
  <c r="C8" i="2"/>
  <c r="C6" i="2"/>
  <c r="C9" i="4"/>
  <c r="E152" i="2"/>
  <c r="E153" i="2"/>
  <c r="E102" i="3"/>
  <c r="E100" i="4"/>
  <c r="C101" i="3"/>
  <c r="U110" i="2"/>
  <c r="V110" i="2"/>
  <c r="W110" i="2"/>
  <c r="X110" i="2"/>
  <c r="T110" i="2"/>
  <c r="U105" i="2"/>
  <c r="T105" i="2"/>
  <c r="U102" i="2"/>
  <c r="V102" i="2"/>
  <c r="W102" i="2"/>
  <c r="X102" i="2"/>
  <c r="U101" i="2"/>
  <c r="V101" i="2"/>
  <c r="W101" i="2"/>
  <c r="X101" i="2"/>
  <c r="U100" i="2"/>
  <c r="U99" i="2"/>
  <c r="V99" i="2"/>
  <c r="W99" i="2"/>
  <c r="X99" i="2"/>
  <c r="U97" i="2"/>
  <c r="V97" i="2"/>
  <c r="W97" i="2"/>
  <c r="X97" i="2"/>
  <c r="T97" i="2"/>
  <c r="U96" i="2"/>
  <c r="U94" i="2"/>
  <c r="V94" i="2"/>
  <c r="W94" i="2"/>
  <c r="X94" i="2"/>
  <c r="T94" i="2"/>
  <c r="U93" i="2"/>
  <c r="V93" i="2"/>
  <c r="W93" i="2"/>
  <c r="X93" i="2"/>
  <c r="T93" i="2"/>
  <c r="U90" i="2"/>
  <c r="V90" i="2"/>
  <c r="W90" i="2"/>
  <c r="X90" i="2"/>
  <c r="T90" i="2"/>
  <c r="U87" i="2"/>
  <c r="V87" i="2"/>
  <c r="W87" i="2"/>
  <c r="X87" i="2"/>
  <c r="T87" i="2"/>
  <c r="U82" i="2"/>
  <c r="U81" i="2"/>
  <c r="V81" i="2"/>
  <c r="W81" i="2"/>
  <c r="X81" i="2"/>
  <c r="T81" i="2"/>
  <c r="U80" i="2"/>
  <c r="V80" i="2"/>
  <c r="W80" i="2"/>
  <c r="X80" i="2"/>
  <c r="T80" i="2"/>
  <c r="U79" i="2"/>
  <c r="V79" i="2"/>
  <c r="W79" i="2"/>
  <c r="T79" i="2"/>
  <c r="U78" i="2"/>
  <c r="V78" i="2"/>
  <c r="T78" i="2"/>
  <c r="U77" i="2"/>
  <c r="V77" i="2"/>
  <c r="W77" i="2"/>
  <c r="X77" i="2"/>
  <c r="T77" i="2"/>
  <c r="U76" i="2"/>
  <c r="V76" i="2"/>
  <c r="W76" i="2"/>
  <c r="X76" i="2"/>
  <c r="T76" i="2"/>
  <c r="U75" i="2"/>
  <c r="V75" i="2"/>
  <c r="W75" i="2"/>
  <c r="X75" i="2"/>
  <c r="U74" i="2"/>
  <c r="V74" i="2"/>
  <c r="T74" i="2"/>
  <c r="U73" i="2"/>
  <c r="T73" i="2"/>
  <c r="U69" i="2"/>
  <c r="V69" i="2"/>
  <c r="W69" i="2"/>
  <c r="X69" i="2"/>
  <c r="T69" i="2"/>
  <c r="U68" i="2"/>
  <c r="V68" i="2"/>
  <c r="W68" i="2"/>
  <c r="X68" i="2"/>
  <c r="T68" i="2"/>
  <c r="U67" i="2"/>
  <c r="V67" i="2"/>
  <c r="W67" i="2"/>
  <c r="X67" i="2"/>
  <c r="T67" i="2"/>
  <c r="U66" i="2"/>
  <c r="V66" i="2"/>
  <c r="W66" i="2"/>
  <c r="X66" i="2"/>
  <c r="T66" i="2"/>
  <c r="U65" i="2"/>
  <c r="V65" i="2"/>
  <c r="W65" i="2"/>
  <c r="X65" i="2"/>
  <c r="T65" i="2"/>
  <c r="U64" i="2"/>
  <c r="V64" i="2"/>
  <c r="W64" i="2"/>
  <c r="X64" i="2"/>
  <c r="T64" i="2"/>
  <c r="U63" i="2"/>
  <c r="V63" i="2"/>
  <c r="W63" i="2"/>
  <c r="X63" i="2"/>
  <c r="T63" i="2"/>
  <c r="U62" i="2"/>
  <c r="V62" i="2"/>
  <c r="W62" i="2"/>
  <c r="X62" i="2"/>
  <c r="T62" i="2"/>
  <c r="U61" i="2"/>
  <c r="V61" i="2"/>
  <c r="W61" i="2"/>
  <c r="X61" i="2"/>
  <c r="T61" i="2"/>
  <c r="U58" i="2"/>
  <c r="V58" i="2"/>
  <c r="W58" i="2"/>
  <c r="X58" i="2"/>
  <c r="T58" i="2"/>
  <c r="U57" i="2"/>
  <c r="V57" i="2"/>
  <c r="W57" i="2"/>
  <c r="X57" i="2"/>
  <c r="U56" i="2"/>
  <c r="W56" i="2"/>
  <c r="U24" i="3"/>
  <c r="U50" i="3"/>
  <c r="U51" i="3"/>
  <c r="U52" i="3"/>
  <c r="U55" i="3"/>
  <c r="V55" i="3"/>
  <c r="W55" i="3"/>
  <c r="X55" i="3"/>
  <c r="U49" i="3"/>
  <c r="V49" i="3"/>
  <c r="W49" i="3"/>
  <c r="X49" i="3"/>
  <c r="T55" i="3"/>
  <c r="U56" i="4"/>
  <c r="U53" i="4"/>
  <c r="U50" i="4"/>
  <c r="V50" i="4"/>
  <c r="U49" i="4"/>
  <c r="V49" i="4"/>
  <c r="W49" i="4"/>
  <c r="X49" i="4"/>
  <c r="U48" i="4"/>
  <c r="V48" i="4"/>
  <c r="W48" i="4"/>
  <c r="X48" i="4"/>
  <c r="U47" i="4"/>
  <c r="V47" i="4"/>
  <c r="W47" i="4"/>
  <c r="X47" i="4"/>
  <c r="U33" i="4"/>
  <c r="T33" i="4"/>
  <c r="T53" i="4"/>
  <c r="V53" i="4"/>
  <c r="W53" i="4"/>
  <c r="X53" i="4"/>
  <c r="C12" i="5"/>
  <c r="C10" i="5"/>
  <c r="C7" i="2"/>
  <c r="C9" i="5"/>
  <c r="C4" i="3"/>
  <c r="F112" i="4"/>
  <c r="H112" i="4"/>
  <c r="C108" i="4"/>
  <c r="F105" i="4"/>
  <c r="H105" i="4"/>
  <c r="F103" i="4"/>
  <c r="H103" i="4"/>
  <c r="E98" i="4"/>
  <c r="E93" i="4"/>
  <c r="E91" i="4"/>
  <c r="E90" i="4"/>
  <c r="E85" i="4"/>
  <c r="E83" i="4"/>
  <c r="E82" i="4"/>
  <c r="E75" i="4"/>
  <c r="E77" i="4"/>
  <c r="E74" i="4"/>
  <c r="E69" i="4"/>
  <c r="E67" i="4"/>
  <c r="F67" i="4"/>
  <c r="H67" i="4"/>
  <c r="E66" i="4"/>
  <c r="E61" i="4"/>
  <c r="F53" i="4"/>
  <c r="F52" i="4"/>
  <c r="H52" i="4"/>
  <c r="F51" i="4"/>
  <c r="H51" i="4"/>
  <c r="F50" i="4"/>
  <c r="G50" i="4"/>
  <c r="T50" i="4"/>
  <c r="Y50" i="4"/>
  <c r="F49" i="4"/>
  <c r="G49" i="4"/>
  <c r="T49" i="4"/>
  <c r="Y49" i="4"/>
  <c r="F48" i="4"/>
  <c r="G48" i="4"/>
  <c r="T48" i="4"/>
  <c r="Y48" i="4"/>
  <c r="F47" i="4"/>
  <c r="G47" i="4"/>
  <c r="Y46" i="4"/>
  <c r="F45" i="4"/>
  <c r="H45" i="4"/>
  <c r="F43" i="4"/>
  <c r="H43" i="4"/>
  <c r="F42" i="4"/>
  <c r="H42" i="4"/>
  <c r="F41" i="4"/>
  <c r="H41" i="4"/>
  <c r="F40" i="4"/>
  <c r="H40" i="4"/>
  <c r="F39" i="4"/>
  <c r="H39" i="4"/>
  <c r="V39" i="4"/>
  <c r="W39" i="4"/>
  <c r="X39" i="4"/>
  <c r="F35" i="4"/>
  <c r="H35" i="4"/>
  <c r="F32" i="4"/>
  <c r="H32" i="4"/>
  <c r="I32" i="4"/>
  <c r="J32" i="4"/>
  <c r="K32" i="4"/>
  <c r="L32" i="4"/>
  <c r="M32" i="4"/>
  <c r="N32" i="4"/>
  <c r="O32" i="4"/>
  <c r="P32" i="4"/>
  <c r="Q32" i="4"/>
  <c r="R32" i="4"/>
  <c r="F30" i="4"/>
  <c r="H30" i="4"/>
  <c r="E29" i="4"/>
  <c r="F29" i="4"/>
  <c r="H29" i="4"/>
  <c r="F28" i="4"/>
  <c r="H28" i="4"/>
  <c r="I28" i="4"/>
  <c r="J28" i="4"/>
  <c r="P27" i="4"/>
  <c r="Q27" i="4"/>
  <c r="R27" i="4"/>
  <c r="S27" i="4"/>
  <c r="J27" i="4"/>
  <c r="K27" i="4"/>
  <c r="L27" i="4"/>
  <c r="M27" i="4"/>
  <c r="F27" i="4"/>
  <c r="H27" i="4"/>
  <c r="F26" i="4"/>
  <c r="H26" i="4"/>
  <c r="F25" i="4"/>
  <c r="H25" i="4"/>
  <c r="F24" i="4"/>
  <c r="H24" i="4"/>
  <c r="I24" i="4"/>
  <c r="C40" i="3"/>
  <c r="F40" i="3"/>
  <c r="H40" i="3"/>
  <c r="F55" i="3"/>
  <c r="F54" i="3"/>
  <c r="H54" i="3"/>
  <c r="F53" i="3"/>
  <c r="H53" i="3"/>
  <c r="F52" i="3"/>
  <c r="G52" i="3"/>
  <c r="T52" i="3"/>
  <c r="Y52" i="3"/>
  <c r="F51" i="3"/>
  <c r="G51" i="3"/>
  <c r="T51" i="3"/>
  <c r="Y51" i="3"/>
  <c r="F50" i="3"/>
  <c r="G50" i="3"/>
  <c r="T50" i="3"/>
  <c r="F49" i="3"/>
  <c r="G49" i="3"/>
  <c r="T49" i="3"/>
  <c r="Y48" i="3"/>
  <c r="F45" i="3"/>
  <c r="H45" i="3"/>
  <c r="F44" i="3"/>
  <c r="H44" i="3"/>
  <c r="F43" i="3"/>
  <c r="H43" i="3"/>
  <c r="F42" i="3"/>
  <c r="H42" i="3"/>
  <c r="F41" i="3"/>
  <c r="H41" i="3"/>
  <c r="F105" i="3"/>
  <c r="H105" i="3"/>
  <c r="E100" i="3"/>
  <c r="E95" i="3"/>
  <c r="E93" i="3"/>
  <c r="E92" i="3"/>
  <c r="E85" i="3"/>
  <c r="E87" i="3"/>
  <c r="E84" i="3"/>
  <c r="E79" i="3"/>
  <c r="E76" i="3"/>
  <c r="E71" i="3"/>
  <c r="E68" i="3"/>
  <c r="F61" i="3"/>
  <c r="H61" i="3"/>
  <c r="E63" i="3"/>
  <c r="E61" i="3"/>
  <c r="F97" i="2"/>
  <c r="E150" i="2"/>
  <c r="E145" i="2"/>
  <c r="E142" i="2"/>
  <c r="E137" i="2"/>
  <c r="E134" i="2"/>
  <c r="E129" i="2"/>
  <c r="E126" i="2"/>
  <c r="E121" i="2"/>
  <c r="E118" i="2"/>
  <c r="E113" i="2"/>
  <c r="F162" i="2"/>
  <c r="H162" i="2"/>
  <c r="I162" i="2"/>
  <c r="J162" i="2"/>
  <c r="C158" i="2"/>
  <c r="C110" i="3"/>
  <c r="F155" i="2"/>
  <c r="H155" i="2"/>
  <c r="E31" i="3"/>
  <c r="F31" i="3"/>
  <c r="H31" i="3"/>
  <c r="F26" i="3"/>
  <c r="H26" i="3"/>
  <c r="F27" i="3"/>
  <c r="H27" i="3"/>
  <c r="F28" i="3"/>
  <c r="H28" i="3"/>
  <c r="F29" i="3"/>
  <c r="H29" i="3"/>
  <c r="J29" i="3"/>
  <c r="K29" i="3"/>
  <c r="L29" i="3"/>
  <c r="M29" i="3"/>
  <c r="P29" i="3"/>
  <c r="Q29" i="3"/>
  <c r="R29" i="3"/>
  <c r="S29" i="3"/>
  <c r="F30" i="3"/>
  <c r="H30" i="3"/>
  <c r="I30" i="3"/>
  <c r="F24" i="3"/>
  <c r="G24" i="3"/>
  <c r="F32" i="3"/>
  <c r="H32" i="3"/>
  <c r="I32" i="3"/>
  <c r="F34" i="3"/>
  <c r="H34" i="3"/>
  <c r="F37" i="3"/>
  <c r="H37" i="3"/>
  <c r="I37" i="3"/>
  <c r="J37" i="3"/>
  <c r="K37" i="3"/>
  <c r="L37" i="3"/>
  <c r="F47" i="3"/>
  <c r="H47" i="3"/>
  <c r="F107" i="3"/>
  <c r="H107" i="3"/>
  <c r="F114" i="3"/>
  <c r="H114" i="3"/>
  <c r="F82" i="2"/>
  <c r="G82" i="2"/>
  <c r="T82" i="2"/>
  <c r="V82" i="2"/>
  <c r="X82" i="2"/>
  <c r="E75" i="2"/>
  <c r="F75" i="2"/>
  <c r="G75" i="2"/>
  <c r="T75" i="2"/>
  <c r="Y83" i="2"/>
  <c r="Y98" i="2"/>
  <c r="F103" i="2"/>
  <c r="H103" i="2"/>
  <c r="U103" i="2"/>
  <c r="F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F105" i="2"/>
  <c r="F56" i="2"/>
  <c r="G56" i="2"/>
  <c r="T56" i="2"/>
  <c r="V56" i="2"/>
  <c r="X56" i="2"/>
  <c r="Y56" i="2"/>
  <c r="F59" i="2"/>
  <c r="H59" i="2"/>
  <c r="F93" i="2"/>
  <c r="F94" i="2"/>
  <c r="C71" i="2"/>
  <c r="F71" i="2"/>
  <c r="H71" i="2"/>
  <c r="C70" i="2"/>
  <c r="F70" i="2"/>
  <c r="H70" i="2"/>
  <c r="J70" i="2"/>
  <c r="E72" i="2"/>
  <c r="C72" i="2"/>
  <c r="F75" i="4"/>
  <c r="H75" i="4"/>
  <c r="C4" i="5"/>
  <c r="V52" i="3"/>
  <c r="W50" i="4"/>
  <c r="X50" i="4"/>
  <c r="V100" i="2"/>
  <c r="W100" i="2"/>
  <c r="X100" i="2"/>
  <c r="V73" i="2"/>
  <c r="W73" i="2"/>
  <c r="X73" i="2"/>
  <c r="N42" i="3"/>
  <c r="U42" i="3"/>
  <c r="V51" i="3"/>
  <c r="W51" i="3"/>
  <c r="X51" i="3"/>
  <c r="W74" i="2"/>
  <c r="X74" i="2"/>
  <c r="Y53" i="4"/>
  <c r="I26" i="4"/>
  <c r="K28" i="4"/>
  <c r="L28" i="4"/>
  <c r="I54" i="3"/>
  <c r="J24" i="4"/>
  <c r="K24" i="4"/>
  <c r="N40" i="4"/>
  <c r="T40" i="4"/>
  <c r="J26" i="4"/>
  <c r="W52" i="3"/>
  <c r="X52" i="3"/>
  <c r="S32" i="4"/>
  <c r="C2" i="4"/>
  <c r="C2" i="2"/>
  <c r="C5" i="2"/>
  <c r="C38" i="2"/>
  <c r="C2" i="3"/>
  <c r="I30" i="4"/>
  <c r="N39" i="4"/>
  <c r="U39" i="4"/>
  <c r="K26" i="4"/>
  <c r="J54" i="3"/>
  <c r="L26" i="4"/>
  <c r="K54" i="3"/>
  <c r="L54" i="3"/>
  <c r="I112" i="4"/>
  <c r="J112" i="4"/>
  <c r="K112" i="4"/>
  <c r="L112" i="4"/>
  <c r="M112" i="4"/>
  <c r="N112" i="4"/>
  <c r="T112" i="4"/>
  <c r="O112" i="4"/>
  <c r="P112" i="4"/>
  <c r="Q112" i="4"/>
  <c r="R112" i="4"/>
  <c r="S112" i="4"/>
  <c r="I105" i="4"/>
  <c r="J105" i="4"/>
  <c r="K105" i="4"/>
  <c r="L105" i="4"/>
  <c r="M105" i="4"/>
  <c r="N105" i="4"/>
  <c r="O105" i="4"/>
  <c r="P105" i="4"/>
  <c r="Q105" i="4"/>
  <c r="R105" i="4"/>
  <c r="S105" i="4"/>
  <c r="I103" i="4"/>
  <c r="I75" i="4"/>
  <c r="J75" i="4"/>
  <c r="K75" i="4"/>
  <c r="L75" i="4"/>
  <c r="M75" i="4"/>
  <c r="N75" i="4"/>
  <c r="O75" i="4"/>
  <c r="P75" i="4"/>
  <c r="Q75" i="4"/>
  <c r="R75" i="4"/>
  <c r="S75" i="4"/>
  <c r="I67" i="4"/>
  <c r="T47" i="4"/>
  <c r="Y47" i="4"/>
  <c r="T51" i="4"/>
  <c r="U51" i="4"/>
  <c r="V51" i="4"/>
  <c r="W51" i="4"/>
  <c r="X51" i="4"/>
  <c r="I52" i="4"/>
  <c r="M42" i="4"/>
  <c r="T42" i="4"/>
  <c r="U42" i="4"/>
  <c r="V42" i="4"/>
  <c r="W42" i="4"/>
  <c r="X42" i="4"/>
  <c r="J43" i="4"/>
  <c r="L43" i="4"/>
  <c r="N43" i="4"/>
  <c r="P43" i="4"/>
  <c r="R43" i="4"/>
  <c r="I43" i="4"/>
  <c r="K43" i="4"/>
  <c r="I41" i="4"/>
  <c r="J41" i="4"/>
  <c r="L41" i="4"/>
  <c r="N41" i="4"/>
  <c r="P41" i="4"/>
  <c r="R41" i="4"/>
  <c r="I35" i="4"/>
  <c r="J35" i="4"/>
  <c r="T39" i="4"/>
  <c r="Y39" i="4"/>
  <c r="I107" i="3"/>
  <c r="J107" i="3"/>
  <c r="K107" i="3"/>
  <c r="L107" i="3"/>
  <c r="M107" i="3"/>
  <c r="N107" i="3"/>
  <c r="O107" i="3"/>
  <c r="P107" i="3"/>
  <c r="Q107" i="3"/>
  <c r="U107" i="3"/>
  <c r="V107" i="3"/>
  <c r="W107" i="3"/>
  <c r="X107" i="3"/>
  <c r="R107" i="3"/>
  <c r="S107" i="3"/>
  <c r="I105" i="3"/>
  <c r="J105" i="3"/>
  <c r="K105" i="3"/>
  <c r="L105" i="3"/>
  <c r="M105" i="3"/>
  <c r="N105" i="3"/>
  <c r="O105" i="3"/>
  <c r="P105" i="3"/>
  <c r="Q105" i="3"/>
  <c r="R105" i="3"/>
  <c r="S105" i="3"/>
  <c r="M54" i="3"/>
  <c r="N54" i="3"/>
  <c r="O54" i="3"/>
  <c r="P54" i="3"/>
  <c r="Q54" i="3"/>
  <c r="R54" i="3"/>
  <c r="S54" i="3"/>
  <c r="Y49" i="3"/>
  <c r="I47" i="3"/>
  <c r="J47" i="3"/>
  <c r="K47" i="3"/>
  <c r="L47" i="3"/>
  <c r="M47" i="3"/>
  <c r="N47" i="3"/>
  <c r="O47" i="3"/>
  <c r="P47" i="3"/>
  <c r="Q47" i="3"/>
  <c r="R47" i="3"/>
  <c r="S47" i="3"/>
  <c r="M44" i="3"/>
  <c r="T44" i="3"/>
  <c r="I45" i="3"/>
  <c r="K45" i="3"/>
  <c r="M45" i="3"/>
  <c r="O45" i="3"/>
  <c r="Q45" i="3"/>
  <c r="S45" i="3"/>
  <c r="J45" i="3"/>
  <c r="L45" i="3"/>
  <c r="N45" i="3"/>
  <c r="P45" i="3"/>
  <c r="R45" i="3"/>
  <c r="V42" i="3"/>
  <c r="W42" i="3"/>
  <c r="X42" i="3"/>
  <c r="I26" i="3"/>
  <c r="J26" i="3"/>
  <c r="K26" i="3"/>
  <c r="L26" i="3"/>
  <c r="M26" i="3"/>
  <c r="N26" i="3"/>
  <c r="O26" i="3"/>
  <c r="P26" i="3"/>
  <c r="Q26" i="3"/>
  <c r="R26" i="3"/>
  <c r="S26" i="3"/>
  <c r="I31" i="3"/>
  <c r="I27" i="3"/>
  <c r="J27" i="3"/>
  <c r="K27" i="3"/>
  <c r="L27" i="3"/>
  <c r="M27" i="3"/>
  <c r="N27" i="3"/>
  <c r="O27" i="3"/>
  <c r="P27" i="3"/>
  <c r="Q27" i="3"/>
  <c r="R27" i="3"/>
  <c r="S27" i="3"/>
  <c r="J32" i="3"/>
  <c r="K32" i="3"/>
  <c r="L32" i="3"/>
  <c r="M32" i="3"/>
  <c r="N32" i="3"/>
  <c r="O32" i="3"/>
  <c r="P32" i="3"/>
  <c r="Q32" i="3"/>
  <c r="R32" i="3"/>
  <c r="S32" i="3"/>
  <c r="J30" i="3"/>
  <c r="K30" i="3"/>
  <c r="L30" i="3"/>
  <c r="M30" i="3"/>
  <c r="I28" i="3"/>
  <c r="J28" i="3"/>
  <c r="K28" i="3"/>
  <c r="L28" i="3"/>
  <c r="M28" i="3"/>
  <c r="N28" i="3"/>
  <c r="O28" i="3"/>
  <c r="P28" i="3"/>
  <c r="Q28" i="3"/>
  <c r="R28" i="3"/>
  <c r="S28" i="3"/>
  <c r="U28" i="3"/>
  <c r="U105" i="4"/>
  <c r="V105" i="4"/>
  <c r="W105" i="4"/>
  <c r="X105" i="4"/>
  <c r="J67" i="4"/>
  <c r="K67" i="4"/>
  <c r="L67" i="4"/>
  <c r="M67" i="4"/>
  <c r="N67" i="4"/>
  <c r="O67" i="4"/>
  <c r="P67" i="4"/>
  <c r="Q67" i="4"/>
  <c r="R67" i="4"/>
  <c r="S67" i="4"/>
  <c r="Y51" i="4"/>
  <c r="Y42" i="4"/>
  <c r="T54" i="3"/>
  <c r="Y54" i="3"/>
  <c r="U54" i="3"/>
  <c r="V54" i="3"/>
  <c r="W54" i="3"/>
  <c r="X54" i="3"/>
  <c r="T47" i="3"/>
  <c r="V28" i="3"/>
  <c r="W28" i="3"/>
  <c r="X28" i="3"/>
  <c r="K35" i="4"/>
  <c r="L35" i="4"/>
  <c r="M35" i="4"/>
  <c r="N35" i="4"/>
  <c r="O35" i="4"/>
  <c r="P35" i="4"/>
  <c r="Q35" i="4"/>
  <c r="R35" i="4"/>
  <c r="S35" i="4"/>
  <c r="N40" i="3"/>
  <c r="U40" i="3"/>
  <c r="V40" i="3"/>
  <c r="T40" i="3"/>
  <c r="W40" i="3"/>
  <c r="X40" i="3"/>
  <c r="N30" i="3"/>
  <c r="O30" i="3"/>
  <c r="P30" i="3"/>
  <c r="Q30" i="3"/>
  <c r="R30" i="3"/>
  <c r="L24" i="4"/>
  <c r="T28" i="3"/>
  <c r="Y28" i="3"/>
  <c r="U47" i="3"/>
  <c r="V47" i="3"/>
  <c r="W47" i="3"/>
  <c r="X47" i="3"/>
  <c r="T45" i="3"/>
  <c r="Y45" i="3"/>
  <c r="J52" i="4"/>
  <c r="K52" i="4"/>
  <c r="L52" i="4"/>
  <c r="M52" i="4"/>
  <c r="N52" i="4"/>
  <c r="O52" i="4"/>
  <c r="P52" i="4"/>
  <c r="Q52" i="4"/>
  <c r="R52" i="4"/>
  <c r="S52" i="4"/>
  <c r="U52" i="4"/>
  <c r="V52" i="4"/>
  <c r="W52" i="4"/>
  <c r="X52" i="4"/>
  <c r="T75" i="4"/>
  <c r="Y75" i="4"/>
  <c r="T24" i="3"/>
  <c r="G21" i="3"/>
  <c r="N41" i="3"/>
  <c r="U41" i="3"/>
  <c r="V41" i="3"/>
  <c r="W41" i="3"/>
  <c r="X41" i="3"/>
  <c r="J43" i="3"/>
  <c r="L43" i="3"/>
  <c r="N43" i="3"/>
  <c r="P43" i="3"/>
  <c r="R43" i="3"/>
  <c r="I43" i="3"/>
  <c r="T35" i="4"/>
  <c r="U27" i="3"/>
  <c r="V27" i="3"/>
  <c r="W27" i="3"/>
  <c r="X27" i="3"/>
  <c r="T32" i="3"/>
  <c r="J31" i="3"/>
  <c r="K31" i="3"/>
  <c r="K41" i="4"/>
  <c r="V50" i="3"/>
  <c r="W50" i="3"/>
  <c r="X50" i="3"/>
  <c r="M37" i="3"/>
  <c r="N37" i="3"/>
  <c r="O37" i="3"/>
  <c r="P37" i="3"/>
  <c r="Q37" i="3"/>
  <c r="R37" i="3"/>
  <c r="S37" i="3"/>
  <c r="I34" i="3"/>
  <c r="N29" i="3"/>
  <c r="U29" i="3"/>
  <c r="V29" i="3"/>
  <c r="W29" i="3"/>
  <c r="X29" i="3"/>
  <c r="T26" i="3"/>
  <c r="U26" i="3"/>
  <c r="I61" i="3"/>
  <c r="J61" i="3"/>
  <c r="K61" i="3"/>
  <c r="L61" i="3"/>
  <c r="M61" i="3"/>
  <c r="N61" i="3"/>
  <c r="O61" i="3"/>
  <c r="P61" i="3"/>
  <c r="Q61" i="3"/>
  <c r="R61" i="3"/>
  <c r="S61" i="3"/>
  <c r="U61" i="3"/>
  <c r="V61" i="3"/>
  <c r="W61" i="3"/>
  <c r="X61" i="3"/>
  <c r="T61" i="3"/>
  <c r="Y61" i="3"/>
  <c r="T42" i="3"/>
  <c r="Y42" i="3"/>
  <c r="U44" i="3"/>
  <c r="V44" i="3"/>
  <c r="W44" i="3"/>
  <c r="X44" i="3"/>
  <c r="J103" i="4"/>
  <c r="K103" i="4"/>
  <c r="L103" i="4"/>
  <c r="M103" i="4"/>
  <c r="N103" i="4"/>
  <c r="O103" i="4"/>
  <c r="P103" i="4"/>
  <c r="Q103" i="4"/>
  <c r="R103" i="4"/>
  <c r="S103" i="4"/>
  <c r="J30" i="4"/>
  <c r="U32" i="3"/>
  <c r="V32" i="3"/>
  <c r="W32" i="3"/>
  <c r="X32" i="3"/>
  <c r="U75" i="4"/>
  <c r="V75" i="4"/>
  <c r="W75" i="4"/>
  <c r="X75" i="4"/>
  <c r="U67" i="4"/>
  <c r="V67" i="4"/>
  <c r="W67" i="4"/>
  <c r="X67" i="4"/>
  <c r="U35" i="4"/>
  <c r="V35" i="4"/>
  <c r="W35" i="4"/>
  <c r="X35" i="4"/>
  <c r="T27" i="3"/>
  <c r="Y27" i="3"/>
  <c r="T29" i="3"/>
  <c r="Y29" i="3"/>
  <c r="U45" i="3"/>
  <c r="V45" i="3"/>
  <c r="W45" i="3"/>
  <c r="X45" i="3"/>
  <c r="T52" i="4"/>
  <c r="Y52" i="4"/>
  <c r="T107" i="3"/>
  <c r="Y107" i="3"/>
  <c r="M43" i="4"/>
  <c r="T105" i="4"/>
  <c r="Y105" i="4"/>
  <c r="U112" i="4"/>
  <c r="V112" i="4"/>
  <c r="W112" i="4"/>
  <c r="X112" i="4"/>
  <c r="M26" i="4"/>
  <c r="N26" i="4"/>
  <c r="O26" i="4"/>
  <c r="P26" i="4"/>
  <c r="Q26" i="4"/>
  <c r="R26" i="4"/>
  <c r="S26" i="4"/>
  <c r="T26" i="4"/>
  <c r="U26" i="4"/>
  <c r="V26" i="4"/>
  <c r="W26" i="4"/>
  <c r="X26" i="4"/>
  <c r="C34" i="4"/>
  <c r="F34" i="4"/>
  <c r="C7" i="4"/>
  <c r="C44" i="4"/>
  <c r="F44" i="4"/>
  <c r="H44" i="4"/>
  <c r="I44" i="4"/>
  <c r="K44" i="4"/>
  <c r="T67" i="4"/>
  <c r="Y67" i="4"/>
  <c r="T105" i="3"/>
  <c r="Y105" i="3"/>
  <c r="U105" i="3"/>
  <c r="V105" i="3"/>
  <c r="W105" i="3"/>
  <c r="X105" i="3"/>
  <c r="I114" i="3"/>
  <c r="U27" i="4"/>
  <c r="V27" i="4"/>
  <c r="W27" i="4"/>
  <c r="X27" i="4"/>
  <c r="N27" i="4"/>
  <c r="T27" i="4"/>
  <c r="Y27" i="4"/>
  <c r="G20" i="4"/>
  <c r="M28" i="4"/>
  <c r="U53" i="3"/>
  <c r="V53" i="3"/>
  <c r="W53" i="3"/>
  <c r="X53" i="3"/>
  <c r="T53" i="3"/>
  <c r="I25" i="4"/>
  <c r="I29" i="4"/>
  <c r="T32" i="4"/>
  <c r="Y32" i="4"/>
  <c r="U32" i="4"/>
  <c r="V32" i="4"/>
  <c r="W32" i="4"/>
  <c r="X32" i="4"/>
  <c r="V105" i="2"/>
  <c r="W105" i="2"/>
  <c r="E99" i="4"/>
  <c r="E102" i="4"/>
  <c r="E101" i="4"/>
  <c r="E103" i="3"/>
  <c r="E104" i="3"/>
  <c r="Y55" i="3"/>
  <c r="U40" i="4"/>
  <c r="I45" i="4"/>
  <c r="E69" i="3"/>
  <c r="F69" i="3"/>
  <c r="H69" i="3"/>
  <c r="E77" i="3"/>
  <c r="F77" i="3"/>
  <c r="H77" i="3"/>
  <c r="E59" i="4"/>
  <c r="F59" i="4"/>
  <c r="H59" i="4"/>
  <c r="V26" i="3"/>
  <c r="W26" i="3"/>
  <c r="Y26" i="4"/>
  <c r="M41" i="4"/>
  <c r="L31" i="3"/>
  <c r="Y50" i="3"/>
  <c r="T41" i="3"/>
  <c r="Y41" i="3"/>
  <c r="M24" i="4"/>
  <c r="Y47" i="3"/>
  <c r="J45" i="4"/>
  <c r="J29" i="4"/>
  <c r="Y53" i="3"/>
  <c r="C12" i="4"/>
  <c r="C99" i="4"/>
  <c r="C11" i="4"/>
  <c r="C91" i="4"/>
  <c r="F91" i="4"/>
  <c r="H91" i="4"/>
  <c r="I91" i="4"/>
  <c r="J91" i="4"/>
  <c r="K91" i="4"/>
  <c r="L91" i="4"/>
  <c r="M91" i="4"/>
  <c r="N91" i="4"/>
  <c r="O91" i="4"/>
  <c r="P91" i="4"/>
  <c r="Q91" i="4"/>
  <c r="R91" i="4"/>
  <c r="S91" i="4"/>
  <c r="O43" i="4"/>
  <c r="U103" i="4"/>
  <c r="V103" i="4"/>
  <c r="W103" i="4"/>
  <c r="X103" i="4"/>
  <c r="U37" i="3"/>
  <c r="V37" i="3"/>
  <c r="W37" i="3"/>
  <c r="X37" i="3"/>
  <c r="Y44" i="3"/>
  <c r="Y32" i="3"/>
  <c r="K43" i="3"/>
  <c r="M43" i="3"/>
  <c r="O43" i="3"/>
  <c r="Q43" i="3"/>
  <c r="S43" i="3"/>
  <c r="T43" i="3"/>
  <c r="U43" i="3"/>
  <c r="V43" i="3"/>
  <c r="W43" i="3"/>
  <c r="X43" i="3"/>
  <c r="Y112" i="4"/>
  <c r="I77" i="3"/>
  <c r="J77" i="3"/>
  <c r="K77" i="3"/>
  <c r="L77" i="3"/>
  <c r="M77" i="3"/>
  <c r="N77" i="3"/>
  <c r="O77" i="3"/>
  <c r="P77" i="3"/>
  <c r="Q77" i="3"/>
  <c r="R77" i="3"/>
  <c r="S77" i="3"/>
  <c r="V40" i="4"/>
  <c r="W40" i="4"/>
  <c r="X40" i="4"/>
  <c r="Y40" i="4"/>
  <c r="J114" i="3"/>
  <c r="K114" i="3"/>
  <c r="L114" i="3"/>
  <c r="M114" i="3"/>
  <c r="N114" i="3"/>
  <c r="O114" i="3"/>
  <c r="P114" i="3"/>
  <c r="Q114" i="3"/>
  <c r="R114" i="3"/>
  <c r="S114" i="3"/>
  <c r="T114" i="3"/>
  <c r="V24" i="3"/>
  <c r="S30" i="3"/>
  <c r="I69" i="3"/>
  <c r="J69" i="3"/>
  <c r="K69" i="3"/>
  <c r="L69" i="3"/>
  <c r="M69" i="3"/>
  <c r="N69" i="3"/>
  <c r="O69" i="3"/>
  <c r="P69" i="3"/>
  <c r="Q69" i="3"/>
  <c r="R69" i="3"/>
  <c r="S69" i="3"/>
  <c r="U69" i="3"/>
  <c r="V69" i="3"/>
  <c r="W69" i="3"/>
  <c r="X69" i="3"/>
  <c r="J25" i="4"/>
  <c r="N28" i="4"/>
  <c r="M44" i="4"/>
  <c r="O44" i="4"/>
  <c r="Q44" i="4"/>
  <c r="S44" i="4"/>
  <c r="J44" i="4"/>
  <c r="K30" i="4"/>
  <c r="J34" i="3"/>
  <c r="I59" i="4"/>
  <c r="J59" i="4"/>
  <c r="K59" i="4"/>
  <c r="L59" i="4"/>
  <c r="M59" i="4"/>
  <c r="N59" i="4"/>
  <c r="O59" i="4"/>
  <c r="P59" i="4"/>
  <c r="Q59" i="4"/>
  <c r="R59" i="4"/>
  <c r="S59" i="4"/>
  <c r="T103" i="4"/>
  <c r="Y103" i="4"/>
  <c r="T37" i="3"/>
  <c r="Y35" i="4"/>
  <c r="Y40" i="3"/>
  <c r="Q43" i="4"/>
  <c r="S43" i="4"/>
  <c r="T43" i="4"/>
  <c r="Y43" i="4"/>
  <c r="K45" i="4"/>
  <c r="L45" i="4"/>
  <c r="M45" i="4"/>
  <c r="N45" i="4"/>
  <c r="O45" i="4"/>
  <c r="P45" i="4"/>
  <c r="Q45" i="4"/>
  <c r="R45" i="4"/>
  <c r="S45" i="4"/>
  <c r="T45" i="4"/>
  <c r="Y45" i="4"/>
  <c r="O41" i="4"/>
  <c r="T59" i="4"/>
  <c r="K34" i="3"/>
  <c r="U77" i="3"/>
  <c r="V77" i="3"/>
  <c r="W77" i="3"/>
  <c r="X77" i="3"/>
  <c r="Y43" i="3"/>
  <c r="U45" i="4"/>
  <c r="V45" i="4"/>
  <c r="W45" i="4"/>
  <c r="X45" i="4"/>
  <c r="X26" i="3"/>
  <c r="Y26" i="3"/>
  <c r="L30" i="4"/>
  <c r="M30" i="4"/>
  <c r="N30" i="4"/>
  <c r="O30" i="4"/>
  <c r="P30" i="4"/>
  <c r="Q30" i="4"/>
  <c r="R30" i="4"/>
  <c r="S30" i="4"/>
  <c r="T30" i="4"/>
  <c r="X24" i="3"/>
  <c r="K29" i="4"/>
  <c r="L29" i="4"/>
  <c r="M29" i="4"/>
  <c r="N29" i="4"/>
  <c r="O29" i="4"/>
  <c r="P29" i="4"/>
  <c r="Q29" i="4"/>
  <c r="R29" i="4"/>
  <c r="S29" i="4"/>
  <c r="T29" i="4"/>
  <c r="Y29" i="4"/>
  <c r="O28" i="4"/>
  <c r="U30" i="3"/>
  <c r="T30" i="3"/>
  <c r="Y37" i="3"/>
  <c r="U59" i="4"/>
  <c r="V59" i="4"/>
  <c r="W59" i="4"/>
  <c r="X59" i="4"/>
  <c r="U30" i="4"/>
  <c r="V30" i="4"/>
  <c r="W30" i="4"/>
  <c r="X30" i="4"/>
  <c r="K25" i="4"/>
  <c r="T69" i="3"/>
  <c r="Y69" i="3"/>
  <c r="Y24" i="3"/>
  <c r="T77" i="3"/>
  <c r="Y77" i="3"/>
  <c r="U43" i="4"/>
  <c r="V43" i="4"/>
  <c r="W43" i="4"/>
  <c r="X43" i="4"/>
  <c r="U29" i="4"/>
  <c r="V29" i="4"/>
  <c r="W29" i="4"/>
  <c r="X29" i="4"/>
  <c r="N24" i="4"/>
  <c r="M31" i="3"/>
  <c r="U114" i="3"/>
  <c r="V114" i="3"/>
  <c r="W114" i="3"/>
  <c r="X114" i="3"/>
  <c r="N31" i="3"/>
  <c r="V30" i="3"/>
  <c r="L34" i="3"/>
  <c r="M34" i="3"/>
  <c r="N34" i="3"/>
  <c r="O34" i="3"/>
  <c r="P34" i="3"/>
  <c r="Q34" i="3"/>
  <c r="R34" i="3"/>
  <c r="S34" i="3"/>
  <c r="P28" i="4"/>
  <c r="O24" i="4"/>
  <c r="Y114" i="3"/>
  <c r="Y30" i="4"/>
  <c r="Y59" i="4"/>
  <c r="L25" i="4"/>
  <c r="T34" i="3"/>
  <c r="Q41" i="4"/>
  <c r="Y34" i="3"/>
  <c r="Q28" i="4"/>
  <c r="S41" i="4"/>
  <c r="U41" i="4"/>
  <c r="V41" i="4"/>
  <c r="W41" i="4"/>
  <c r="X41" i="4"/>
  <c r="U34" i="3"/>
  <c r="V34" i="3"/>
  <c r="W34" i="3"/>
  <c r="X34" i="3"/>
  <c r="O31" i="3"/>
  <c r="P24" i="4"/>
  <c r="M25" i="4"/>
  <c r="W30" i="3"/>
  <c r="R28" i="4"/>
  <c r="S28" i="4"/>
  <c r="Q24" i="4"/>
  <c r="N25" i="4"/>
  <c r="X30" i="3"/>
  <c r="Y30" i="3"/>
  <c r="P31" i="3"/>
  <c r="T41" i="4"/>
  <c r="Y41" i="4"/>
  <c r="T28" i="4"/>
  <c r="Q31" i="3"/>
  <c r="O25" i="4"/>
  <c r="R24" i="4"/>
  <c r="U28" i="4"/>
  <c r="V28" i="4"/>
  <c r="W28" i="4"/>
  <c r="X28" i="4"/>
  <c r="R31" i="3"/>
  <c r="Y28" i="4"/>
  <c r="S24" i="4"/>
  <c r="P25" i="4"/>
  <c r="Q25" i="4"/>
  <c r="S31" i="3"/>
  <c r="T24" i="4"/>
  <c r="U24" i="4"/>
  <c r="U31" i="3"/>
  <c r="T31" i="3"/>
  <c r="V24" i="4"/>
  <c r="R25" i="4"/>
  <c r="W24" i="4"/>
  <c r="V31" i="3"/>
  <c r="S25" i="4"/>
  <c r="W31" i="3"/>
  <c r="T25" i="4"/>
  <c r="U25" i="4"/>
  <c r="X24" i="4"/>
  <c r="X31" i="3"/>
  <c r="Y24" i="4"/>
  <c r="V25" i="4"/>
  <c r="W25" i="4"/>
  <c r="Y31" i="3"/>
  <c r="X25" i="4"/>
  <c r="Y25" i="4"/>
  <c r="Y82" i="2"/>
  <c r="Y66" i="2"/>
  <c r="C143" i="2"/>
  <c r="C102" i="2"/>
  <c r="F102" i="2"/>
  <c r="G102" i="2"/>
  <c r="T102" i="2"/>
  <c r="E135" i="2"/>
  <c r="F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Y81" i="2"/>
  <c r="Y87" i="2"/>
  <c r="Y73" i="2"/>
  <c r="E127" i="2"/>
  <c r="F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Y65" i="2"/>
  <c r="W78" i="2"/>
  <c r="X78" i="2"/>
  <c r="Y67" i="2"/>
  <c r="C101" i="2"/>
  <c r="F101" i="2"/>
  <c r="G101" i="2"/>
  <c r="T101" i="2"/>
  <c r="Y101" i="2"/>
  <c r="C100" i="2"/>
  <c r="F100" i="2"/>
  <c r="G100" i="2"/>
  <c r="T100" i="2"/>
  <c r="Y100" i="2"/>
  <c r="Y64" i="2"/>
  <c r="Y97" i="2"/>
  <c r="Y93" i="2"/>
  <c r="Y76" i="2"/>
  <c r="Y94" i="2"/>
  <c r="K162" i="2"/>
  <c r="L162" i="2"/>
  <c r="M162" i="2"/>
  <c r="N162" i="2"/>
  <c r="O162" i="2"/>
  <c r="P162" i="2"/>
  <c r="Q162" i="2"/>
  <c r="R162" i="2"/>
  <c r="S162" i="2"/>
  <c r="Y80" i="2"/>
  <c r="X105" i="2"/>
  <c r="Y105" i="2"/>
  <c r="T103" i="2"/>
  <c r="F72" i="2"/>
  <c r="H72" i="2"/>
  <c r="J72" i="2"/>
  <c r="L72" i="2"/>
  <c r="N72" i="2"/>
  <c r="P72" i="2"/>
  <c r="R72" i="2"/>
  <c r="E119" i="2"/>
  <c r="F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E143" i="2"/>
  <c r="V103" i="2"/>
  <c r="W103" i="2"/>
  <c r="X103" i="2"/>
  <c r="L70" i="2"/>
  <c r="N70" i="2"/>
  <c r="P70" i="2"/>
  <c r="R70" i="2"/>
  <c r="U127" i="2"/>
  <c r="V127" i="2"/>
  <c r="W127" i="2"/>
  <c r="X127" i="2"/>
  <c r="Y102" i="2"/>
  <c r="Y58" i="2"/>
  <c r="Y75" i="2"/>
  <c r="Y68" i="2"/>
  <c r="T60" i="2"/>
  <c r="U60" i="2"/>
  <c r="V60" i="2"/>
  <c r="W60" i="2"/>
  <c r="X60" i="2"/>
  <c r="T127" i="2"/>
  <c r="Y77" i="2"/>
  <c r="Y74" i="2"/>
  <c r="J71" i="2"/>
  <c r="E111" i="2"/>
  <c r="F111" i="2"/>
  <c r="H111" i="2"/>
  <c r="Y62" i="2"/>
  <c r="T59" i="2"/>
  <c r="U59" i="2"/>
  <c r="V59" i="2"/>
  <c r="W59" i="2"/>
  <c r="X59" i="2"/>
  <c r="I155" i="2"/>
  <c r="J155" i="2"/>
  <c r="K155" i="2"/>
  <c r="L155" i="2"/>
  <c r="M155" i="2"/>
  <c r="N155" i="2"/>
  <c r="O155" i="2"/>
  <c r="P155" i="2"/>
  <c r="Q155" i="2"/>
  <c r="R155" i="2"/>
  <c r="S155" i="2"/>
  <c r="U155" i="2"/>
  <c r="V155" i="2"/>
  <c r="W155" i="2"/>
  <c r="X155" i="2"/>
  <c r="Y110" i="2"/>
  <c r="T104" i="2"/>
  <c r="U104" i="2"/>
  <c r="V104" i="2"/>
  <c r="W104" i="2"/>
  <c r="X104" i="2"/>
  <c r="Y61" i="2"/>
  <c r="Y63" i="2"/>
  <c r="Y69" i="2"/>
  <c r="Y90" i="2"/>
  <c r="F99" i="2"/>
  <c r="G99" i="2"/>
  <c r="T99" i="2"/>
  <c r="Y99" i="2"/>
  <c r="F84" i="2"/>
  <c r="H84" i="2"/>
  <c r="I84" i="2"/>
  <c r="J84" i="2"/>
  <c r="H34" i="4"/>
  <c r="I34" i="4"/>
  <c r="E31" i="4"/>
  <c r="F31" i="4"/>
  <c r="H31" i="4"/>
  <c r="I31" i="4"/>
  <c r="J31" i="4"/>
  <c r="K31" i="4"/>
  <c r="L31" i="4"/>
  <c r="M31" i="4"/>
  <c r="N31" i="4"/>
  <c r="O31" i="4"/>
  <c r="P31" i="4"/>
  <c r="Q31" i="4"/>
  <c r="E101" i="3"/>
  <c r="F101" i="3"/>
  <c r="H101" i="3"/>
  <c r="J101" i="3"/>
  <c r="L101" i="3"/>
  <c r="N101" i="3"/>
  <c r="P101" i="3"/>
  <c r="R101" i="3"/>
  <c r="C11" i="2"/>
  <c r="C18" i="2"/>
  <c r="C38" i="4"/>
  <c r="F38" i="4"/>
  <c r="H38" i="4"/>
  <c r="R31" i="4"/>
  <c r="C24" i="2"/>
  <c r="C25" i="2"/>
  <c r="J34" i="4"/>
  <c r="L44" i="4"/>
  <c r="N44" i="4"/>
  <c r="P44" i="4"/>
  <c r="R44" i="4"/>
  <c r="T44" i="4"/>
  <c r="T91" i="4"/>
  <c r="U91" i="4"/>
  <c r="V91" i="4"/>
  <c r="W91" i="4"/>
  <c r="X91" i="4"/>
  <c r="I101" i="3"/>
  <c r="E154" i="2"/>
  <c r="E151" i="2"/>
  <c r="C46" i="3"/>
  <c r="F46" i="3"/>
  <c r="H46" i="3"/>
  <c r="C7" i="3"/>
  <c r="C13" i="4"/>
  <c r="C3" i="4"/>
  <c r="F99" i="4"/>
  <c r="H99" i="4"/>
  <c r="F143" i="2"/>
  <c r="H143" i="2"/>
  <c r="I143" i="2"/>
  <c r="C39" i="2"/>
  <c r="C40" i="2"/>
  <c r="C41" i="2"/>
  <c r="U119" i="2"/>
  <c r="V119" i="2"/>
  <c r="W119" i="2"/>
  <c r="X119" i="2"/>
  <c r="Y59" i="2"/>
  <c r="Y60" i="2"/>
  <c r="T162" i="2"/>
  <c r="U70" i="2"/>
  <c r="V70" i="2"/>
  <c r="W70" i="2"/>
  <c r="X70" i="2"/>
  <c r="U72" i="2"/>
  <c r="V72" i="2"/>
  <c r="W72" i="2"/>
  <c r="X72" i="2"/>
  <c r="J143" i="2"/>
  <c r="K143" i="2"/>
  <c r="L143" i="2"/>
  <c r="M143" i="2"/>
  <c r="N143" i="2"/>
  <c r="O143" i="2"/>
  <c r="P143" i="2"/>
  <c r="Q143" i="2"/>
  <c r="R143" i="2"/>
  <c r="S143" i="2"/>
  <c r="C46" i="2"/>
  <c r="C57" i="2"/>
  <c r="U162" i="2"/>
  <c r="V162" i="2"/>
  <c r="W162" i="2"/>
  <c r="X162" i="2"/>
  <c r="Y78" i="2"/>
  <c r="T119" i="2"/>
  <c r="Y119" i="2"/>
  <c r="T70" i="2"/>
  <c r="Y70" i="2"/>
  <c r="I111" i="2"/>
  <c r="J111" i="2"/>
  <c r="K111" i="2"/>
  <c r="L111" i="2"/>
  <c r="M111" i="2"/>
  <c r="N111" i="2"/>
  <c r="O111" i="2"/>
  <c r="P111" i="2"/>
  <c r="Q111" i="2"/>
  <c r="R111" i="2"/>
  <c r="S111" i="2"/>
  <c r="Y104" i="2"/>
  <c r="Y127" i="2"/>
  <c r="U135" i="2"/>
  <c r="V135" i="2"/>
  <c r="W135" i="2"/>
  <c r="X135" i="2"/>
  <c r="T155" i="2"/>
  <c r="Y155" i="2"/>
  <c r="L71" i="2"/>
  <c r="N71" i="2"/>
  <c r="P71" i="2"/>
  <c r="R71" i="2"/>
  <c r="T72" i="2"/>
  <c r="Y72" i="2"/>
  <c r="Y103" i="2"/>
  <c r="T135" i="2"/>
  <c r="E107" i="2"/>
  <c r="F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E109" i="2"/>
  <c r="F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Y91" i="4"/>
  <c r="N38" i="4"/>
  <c r="T38" i="4"/>
  <c r="K101" i="3"/>
  <c r="M101" i="3"/>
  <c r="O101" i="3"/>
  <c r="Q101" i="3"/>
  <c r="S101" i="3"/>
  <c r="U101" i="3"/>
  <c r="V101" i="3"/>
  <c r="W101" i="3"/>
  <c r="X101" i="3"/>
  <c r="K34" i="4"/>
  <c r="C4" i="4"/>
  <c r="C10" i="4"/>
  <c r="C13" i="3"/>
  <c r="C8" i="3"/>
  <c r="C9" i="3"/>
  <c r="T101" i="3"/>
  <c r="Y101" i="3"/>
  <c r="K84" i="2"/>
  <c r="S31" i="4"/>
  <c r="I99" i="4"/>
  <c r="K99" i="4"/>
  <c r="M99" i="4"/>
  <c r="O99" i="4"/>
  <c r="Q99" i="4"/>
  <c r="S99" i="4"/>
  <c r="J99" i="4"/>
  <c r="L99" i="4"/>
  <c r="N99" i="4"/>
  <c r="P99" i="4"/>
  <c r="R99" i="4"/>
  <c r="I46" i="3"/>
  <c r="K46" i="3"/>
  <c r="M46" i="3"/>
  <c r="O46" i="3"/>
  <c r="Q46" i="3"/>
  <c r="S46" i="3"/>
  <c r="J46" i="3"/>
  <c r="L46" i="3"/>
  <c r="N46" i="3"/>
  <c r="P46" i="3"/>
  <c r="R46" i="3"/>
  <c r="U44" i="4"/>
  <c r="V44" i="4"/>
  <c r="W44" i="4"/>
  <c r="X44" i="4"/>
  <c r="T31" i="4"/>
  <c r="C42" i="2"/>
  <c r="C44" i="2"/>
  <c r="U111" i="2"/>
  <c r="V111" i="2"/>
  <c r="W111" i="2"/>
  <c r="X111" i="2"/>
  <c r="U143" i="2"/>
  <c r="V143" i="2"/>
  <c r="W143" i="2"/>
  <c r="X143" i="2"/>
  <c r="T143" i="2"/>
  <c r="Y143" i="2"/>
  <c r="C88" i="2"/>
  <c r="T111" i="2"/>
  <c r="Y111" i="2"/>
  <c r="Y162" i="2"/>
  <c r="U71" i="2"/>
  <c r="V71" i="2"/>
  <c r="W71" i="2"/>
  <c r="X71" i="2"/>
  <c r="T109" i="2"/>
  <c r="T107" i="2"/>
  <c r="Y135" i="2"/>
  <c r="T71" i="2"/>
  <c r="U46" i="3"/>
  <c r="V46" i="3"/>
  <c r="W46" i="3"/>
  <c r="X46" i="3"/>
  <c r="U38" i="4"/>
  <c r="V38" i="4"/>
  <c r="W38" i="4"/>
  <c r="X38" i="4"/>
  <c r="C10" i="3"/>
  <c r="C14" i="3"/>
  <c r="C36" i="3"/>
  <c r="F36" i="3"/>
  <c r="C93" i="3"/>
  <c r="F93" i="3"/>
  <c r="H93" i="3"/>
  <c r="E59" i="3"/>
  <c r="F59" i="3"/>
  <c r="H59" i="3"/>
  <c r="E57" i="3"/>
  <c r="F57" i="3"/>
  <c r="H57" i="3"/>
  <c r="L34" i="4"/>
  <c r="U31" i="4"/>
  <c r="U107" i="2"/>
  <c r="V107" i="2"/>
  <c r="W107" i="2"/>
  <c r="X107" i="2"/>
  <c r="U99" i="4"/>
  <c r="V99" i="4"/>
  <c r="W99" i="4"/>
  <c r="X99" i="4"/>
  <c r="Y44" i="4"/>
  <c r="U109" i="2"/>
  <c r="Y109" i="2"/>
  <c r="C83" i="4"/>
  <c r="F83" i="4"/>
  <c r="H83" i="4"/>
  <c r="C36" i="4"/>
  <c r="F57" i="2"/>
  <c r="G57" i="2"/>
  <c r="C79" i="2"/>
  <c r="F79" i="2"/>
  <c r="X79" i="2"/>
  <c r="L84" i="2"/>
  <c r="T46" i="3"/>
  <c r="Y46" i="3"/>
  <c r="T99" i="4"/>
  <c r="Y99" i="4"/>
  <c r="E57" i="4"/>
  <c r="F57" i="4"/>
  <c r="H57" i="4"/>
  <c r="E55" i="4"/>
  <c r="F55" i="4"/>
  <c r="H55" i="4"/>
  <c r="Y71" i="2"/>
  <c r="C87" i="2"/>
  <c r="F87" i="2"/>
  <c r="C95" i="2"/>
  <c r="F95" i="2"/>
  <c r="H95" i="2"/>
  <c r="C151" i="2"/>
  <c r="F151" i="2"/>
  <c r="H151" i="2"/>
  <c r="J151" i="2"/>
  <c r="L151" i="2"/>
  <c r="N151" i="2"/>
  <c r="P151" i="2"/>
  <c r="R151" i="2"/>
  <c r="C86" i="2"/>
  <c r="F86" i="2"/>
  <c r="H86" i="2"/>
  <c r="J86" i="2"/>
  <c r="C85" i="2"/>
  <c r="F85" i="2"/>
  <c r="H85" i="2"/>
  <c r="T85" i="2"/>
  <c r="C92" i="2"/>
  <c r="F92" i="2"/>
  <c r="H92" i="2"/>
  <c r="C96" i="2"/>
  <c r="F96" i="2"/>
  <c r="G96" i="2"/>
  <c r="T96" i="2"/>
  <c r="V96" i="2"/>
  <c r="X96" i="2"/>
  <c r="Y38" i="4"/>
  <c r="N92" i="2"/>
  <c r="U92" i="2"/>
  <c r="V92" i="2"/>
  <c r="W92" i="2"/>
  <c r="X92" i="2"/>
  <c r="H36" i="3"/>
  <c r="E33" i="3"/>
  <c r="F33" i="3"/>
  <c r="H33" i="3"/>
  <c r="Y79" i="2"/>
  <c r="V31" i="4"/>
  <c r="M34" i="4"/>
  <c r="T95" i="2"/>
  <c r="U95" i="2"/>
  <c r="V95" i="2"/>
  <c r="W95" i="2"/>
  <c r="X95" i="2"/>
  <c r="I93" i="3"/>
  <c r="J93" i="3"/>
  <c r="K93" i="3"/>
  <c r="L93" i="3"/>
  <c r="M93" i="3"/>
  <c r="N93" i="3"/>
  <c r="O93" i="3"/>
  <c r="P93" i="3"/>
  <c r="Q93" i="3"/>
  <c r="R93" i="3"/>
  <c r="S93" i="3"/>
  <c r="Y107" i="2"/>
  <c r="T57" i="2"/>
  <c r="I55" i="4"/>
  <c r="J55" i="4"/>
  <c r="K55" i="4"/>
  <c r="L55" i="4"/>
  <c r="M55" i="4"/>
  <c r="N55" i="4"/>
  <c r="O55" i="4"/>
  <c r="P55" i="4"/>
  <c r="Q55" i="4"/>
  <c r="R55" i="4"/>
  <c r="S55" i="4"/>
  <c r="U55" i="4"/>
  <c r="V55" i="4"/>
  <c r="W55" i="4"/>
  <c r="X55" i="4"/>
  <c r="C37" i="4"/>
  <c r="F37" i="4"/>
  <c r="H37" i="4"/>
  <c r="F36" i="4"/>
  <c r="H36" i="4"/>
  <c r="C89" i="2"/>
  <c r="F88" i="2"/>
  <c r="H88" i="2"/>
  <c r="I57" i="3"/>
  <c r="J57" i="3"/>
  <c r="K57" i="3"/>
  <c r="L57" i="3"/>
  <c r="M57" i="3"/>
  <c r="N57" i="3"/>
  <c r="O57" i="3"/>
  <c r="P57" i="3"/>
  <c r="Q57" i="3"/>
  <c r="R57" i="3"/>
  <c r="S57" i="3"/>
  <c r="C38" i="3"/>
  <c r="C85" i="3"/>
  <c r="F85" i="3"/>
  <c r="H85" i="3"/>
  <c r="I57" i="4"/>
  <c r="J57" i="4"/>
  <c r="K57" i="4"/>
  <c r="L57" i="4"/>
  <c r="M57" i="4"/>
  <c r="N57" i="4"/>
  <c r="O57" i="4"/>
  <c r="P57" i="4"/>
  <c r="Q57" i="4"/>
  <c r="R57" i="4"/>
  <c r="S57" i="4"/>
  <c r="M84" i="2"/>
  <c r="I83" i="4"/>
  <c r="J83" i="4"/>
  <c r="K83" i="4"/>
  <c r="L83" i="4"/>
  <c r="M83" i="4"/>
  <c r="N83" i="4"/>
  <c r="O83" i="4"/>
  <c r="P83" i="4"/>
  <c r="Q83" i="4"/>
  <c r="R83" i="4"/>
  <c r="S83" i="4"/>
  <c r="U83" i="4"/>
  <c r="V83" i="4"/>
  <c r="W83" i="4"/>
  <c r="X83" i="4"/>
  <c r="E110" i="4"/>
  <c r="F110" i="4"/>
  <c r="H110" i="4"/>
  <c r="I59" i="3"/>
  <c r="J59" i="3"/>
  <c r="K59" i="3"/>
  <c r="L59" i="3"/>
  <c r="M59" i="3"/>
  <c r="N59" i="3"/>
  <c r="O59" i="3"/>
  <c r="P59" i="3"/>
  <c r="Q59" i="3"/>
  <c r="R59" i="3"/>
  <c r="S59" i="3"/>
  <c r="E159" i="2"/>
  <c r="F159" i="2"/>
  <c r="H159" i="2"/>
  <c r="E160" i="2"/>
  <c r="F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U85" i="2"/>
  <c r="V85" i="2"/>
  <c r="W85" i="2"/>
  <c r="X85" i="2"/>
  <c r="Y85" i="2"/>
  <c r="I86" i="2"/>
  <c r="K86" i="2"/>
  <c r="G53" i="2"/>
  <c r="I151" i="2"/>
  <c r="Y95" i="2"/>
  <c r="T83" i="4"/>
  <c r="Y96" i="2"/>
  <c r="T92" i="2"/>
  <c r="Y92" i="2"/>
  <c r="E112" i="3"/>
  <c r="F112" i="3"/>
  <c r="H112" i="3"/>
  <c r="I85" i="3"/>
  <c r="J85" i="3"/>
  <c r="K85" i="3"/>
  <c r="L85" i="3"/>
  <c r="M85" i="3"/>
  <c r="N85" i="3"/>
  <c r="O85" i="3"/>
  <c r="P85" i="3"/>
  <c r="Q85" i="3"/>
  <c r="R85" i="3"/>
  <c r="S85" i="3"/>
  <c r="U59" i="3"/>
  <c r="L86" i="2"/>
  <c r="J53" i="2"/>
  <c r="C39" i="3"/>
  <c r="F39" i="3"/>
  <c r="H39" i="3"/>
  <c r="F38" i="3"/>
  <c r="H38" i="3"/>
  <c r="N88" i="2"/>
  <c r="U88" i="2"/>
  <c r="V88" i="2"/>
  <c r="W88" i="2"/>
  <c r="X88" i="2"/>
  <c r="T88" i="2"/>
  <c r="I159" i="2"/>
  <c r="J159" i="2"/>
  <c r="K159" i="2"/>
  <c r="L159" i="2"/>
  <c r="M159" i="2"/>
  <c r="N159" i="2"/>
  <c r="O159" i="2"/>
  <c r="P159" i="2"/>
  <c r="Q159" i="2"/>
  <c r="R159" i="2"/>
  <c r="S159" i="2"/>
  <c r="U159" i="2"/>
  <c r="V159" i="2"/>
  <c r="W159" i="2"/>
  <c r="X159" i="2"/>
  <c r="T110" i="4"/>
  <c r="I110" i="4"/>
  <c r="J110" i="4"/>
  <c r="K110" i="4"/>
  <c r="L110" i="4"/>
  <c r="M110" i="4"/>
  <c r="N110" i="4"/>
  <c r="O110" i="4"/>
  <c r="P110" i="4"/>
  <c r="Q110" i="4"/>
  <c r="R110" i="4"/>
  <c r="S110" i="4"/>
  <c r="U110" i="4"/>
  <c r="V110" i="4"/>
  <c r="W110" i="4"/>
  <c r="X110" i="4"/>
  <c r="N84" i="2"/>
  <c r="T59" i="3"/>
  <c r="Y59" i="3"/>
  <c r="U57" i="4"/>
  <c r="T57" i="3"/>
  <c r="F89" i="2"/>
  <c r="H89" i="2"/>
  <c r="C90" i="2"/>
  <c r="U36" i="4"/>
  <c r="V36" i="4"/>
  <c r="W36" i="4"/>
  <c r="X36" i="4"/>
  <c r="T36" i="4"/>
  <c r="Y36" i="4"/>
  <c r="E109" i="4"/>
  <c r="F109" i="4"/>
  <c r="H109" i="4"/>
  <c r="H20" i="4"/>
  <c r="T55" i="4"/>
  <c r="Y55" i="4"/>
  <c r="T93" i="3"/>
  <c r="N34" i="4"/>
  <c r="W31" i="4"/>
  <c r="I36" i="3"/>
  <c r="J36" i="3"/>
  <c r="K36" i="3"/>
  <c r="L36" i="3"/>
  <c r="M36" i="3"/>
  <c r="N36" i="3"/>
  <c r="O36" i="3"/>
  <c r="P36" i="3"/>
  <c r="Q36" i="3"/>
  <c r="R36" i="3"/>
  <c r="S36" i="3"/>
  <c r="Y83" i="4"/>
  <c r="T57" i="4"/>
  <c r="Y57" i="4"/>
  <c r="U57" i="3"/>
  <c r="V57" i="3"/>
  <c r="W57" i="3"/>
  <c r="X57" i="3"/>
  <c r="I37" i="4"/>
  <c r="J37" i="4"/>
  <c r="Y57" i="2"/>
  <c r="U93" i="3"/>
  <c r="V93" i="3"/>
  <c r="W93" i="3"/>
  <c r="X93" i="3"/>
  <c r="I33" i="3"/>
  <c r="K151" i="2"/>
  <c r="I53" i="2"/>
  <c r="T85" i="3"/>
  <c r="M86" i="2"/>
  <c r="K53" i="2"/>
  <c r="Y88" i="2"/>
  <c r="U160" i="2"/>
  <c r="V160" i="2"/>
  <c r="W160" i="2"/>
  <c r="X160" i="2"/>
  <c r="Y93" i="3"/>
  <c r="Y57" i="3"/>
  <c r="O34" i="4"/>
  <c r="N89" i="2"/>
  <c r="U89" i="2"/>
  <c r="V89" i="2"/>
  <c r="W89" i="2"/>
  <c r="X89" i="2"/>
  <c r="O84" i="2"/>
  <c r="J39" i="3"/>
  <c r="L39" i="3"/>
  <c r="N39" i="3"/>
  <c r="P39" i="3"/>
  <c r="R39" i="3"/>
  <c r="I39" i="3"/>
  <c r="K39" i="3"/>
  <c r="M39" i="3"/>
  <c r="O39" i="3"/>
  <c r="Q39" i="3"/>
  <c r="S39" i="3"/>
  <c r="U36" i="3"/>
  <c r="V36" i="3"/>
  <c r="W36" i="3"/>
  <c r="X36" i="3"/>
  <c r="X31" i="4"/>
  <c r="T160" i="2"/>
  <c r="E111" i="3"/>
  <c r="F111" i="3"/>
  <c r="H111" i="3"/>
  <c r="H21" i="3"/>
  <c r="K37" i="4"/>
  <c r="T36" i="3"/>
  <c r="Y36" i="3"/>
  <c r="T159" i="2"/>
  <c r="Y159" i="2"/>
  <c r="N86" i="2"/>
  <c r="P86" i="2"/>
  <c r="R86" i="2"/>
  <c r="L53" i="2"/>
  <c r="U85" i="3"/>
  <c r="V85" i="3"/>
  <c r="W85" i="3"/>
  <c r="X85" i="3"/>
  <c r="J33" i="3"/>
  <c r="L37" i="4"/>
  <c r="J20" i="4"/>
  <c r="Y31" i="4"/>
  <c r="I109" i="4"/>
  <c r="J109" i="4"/>
  <c r="K109" i="4"/>
  <c r="L109" i="4"/>
  <c r="M109" i="4"/>
  <c r="N109" i="4"/>
  <c r="O109" i="4"/>
  <c r="P109" i="4"/>
  <c r="Q109" i="4"/>
  <c r="R109" i="4"/>
  <c r="S109" i="4"/>
  <c r="F90" i="2"/>
  <c r="C91" i="2"/>
  <c r="F91" i="2"/>
  <c r="H91" i="2"/>
  <c r="Y110" i="4"/>
  <c r="U38" i="3"/>
  <c r="V38" i="3"/>
  <c r="W38" i="3"/>
  <c r="X38" i="3"/>
  <c r="T38" i="3"/>
  <c r="Y38" i="3"/>
  <c r="I112" i="3"/>
  <c r="J112" i="3"/>
  <c r="K112" i="3"/>
  <c r="L112" i="3"/>
  <c r="M112" i="3"/>
  <c r="N112" i="3"/>
  <c r="O112" i="3"/>
  <c r="P112" i="3"/>
  <c r="Q112" i="3"/>
  <c r="R112" i="3"/>
  <c r="S112" i="3"/>
  <c r="U112" i="3"/>
  <c r="V112" i="3"/>
  <c r="W112" i="3"/>
  <c r="X112" i="3"/>
  <c r="Y160" i="2"/>
  <c r="T89" i="2"/>
  <c r="Y89" i="2"/>
  <c r="M151" i="2"/>
  <c r="M53" i="2"/>
  <c r="I20" i="4"/>
  <c r="T109" i="4"/>
  <c r="M37" i="4"/>
  <c r="K20" i="4"/>
  <c r="P84" i="2"/>
  <c r="K33" i="3"/>
  <c r="T112" i="3"/>
  <c r="Y112" i="3"/>
  <c r="N37" i="4"/>
  <c r="L20" i="4"/>
  <c r="T39" i="3"/>
  <c r="P34" i="4"/>
  <c r="Y85" i="3"/>
  <c r="O86" i="2"/>
  <c r="N91" i="2"/>
  <c r="N53" i="2"/>
  <c r="U109" i="4"/>
  <c r="V109" i="4"/>
  <c r="W109" i="4"/>
  <c r="X109" i="4"/>
  <c r="I111" i="3"/>
  <c r="J111" i="3"/>
  <c r="K111" i="3"/>
  <c r="L111" i="3"/>
  <c r="M111" i="3"/>
  <c r="N111" i="3"/>
  <c r="O111" i="3"/>
  <c r="P111" i="3"/>
  <c r="Q111" i="3"/>
  <c r="R111" i="3"/>
  <c r="S111" i="3"/>
  <c r="U111" i="3"/>
  <c r="V111" i="3"/>
  <c r="W111" i="3"/>
  <c r="X111" i="3"/>
  <c r="U39" i="3"/>
  <c r="V39" i="3"/>
  <c r="W39" i="3"/>
  <c r="X39" i="3"/>
  <c r="H53" i="2"/>
  <c r="O151" i="2"/>
  <c r="Y39" i="3"/>
  <c r="J21" i="3"/>
  <c r="T91" i="2"/>
  <c r="I21" i="3"/>
  <c r="U91" i="2"/>
  <c r="V91" i="2"/>
  <c r="W91" i="2"/>
  <c r="X91" i="2"/>
  <c r="Q86" i="2"/>
  <c r="S86" i="2"/>
  <c r="P37" i="4"/>
  <c r="R37" i="4"/>
  <c r="N20" i="4"/>
  <c r="Y109" i="4"/>
  <c r="L33" i="3"/>
  <c r="K21" i="3"/>
  <c r="T111" i="3"/>
  <c r="Y111" i="3"/>
  <c r="Q84" i="2"/>
  <c r="P53" i="2"/>
  <c r="O37" i="4"/>
  <c r="M20" i="4"/>
  <c r="Q34" i="4"/>
  <c r="O53" i="2"/>
  <c r="U86" i="2"/>
  <c r="V86" i="2"/>
  <c r="W86" i="2"/>
  <c r="X86" i="2"/>
  <c r="Y91" i="2"/>
  <c r="T86" i="2"/>
  <c r="Q151" i="2"/>
  <c r="Q53" i="2"/>
  <c r="P20" i="4"/>
  <c r="R34" i="4"/>
  <c r="Q20" i="4"/>
  <c r="M33" i="3"/>
  <c r="L21" i="3"/>
  <c r="R84" i="2"/>
  <c r="Q37" i="4"/>
  <c r="O20" i="4"/>
  <c r="Y86" i="2"/>
  <c r="S151" i="2"/>
  <c r="T151" i="2"/>
  <c r="U151" i="2"/>
  <c r="V151" i="2"/>
  <c r="W151" i="2"/>
  <c r="X151" i="2"/>
  <c r="S84" i="2"/>
  <c r="R53" i="2"/>
  <c r="M21" i="3"/>
  <c r="N33" i="3"/>
  <c r="S37" i="4"/>
  <c r="U37" i="4"/>
  <c r="V37" i="4"/>
  <c r="W37" i="4"/>
  <c r="X37" i="4"/>
  <c r="T37" i="4"/>
  <c r="Y37" i="4"/>
  <c r="S34" i="4"/>
  <c r="R20" i="4"/>
  <c r="Y151" i="2"/>
  <c r="O33" i="3"/>
  <c r="N21" i="3"/>
  <c r="S20" i="4"/>
  <c r="U34" i="4"/>
  <c r="T34" i="4"/>
  <c r="S53" i="2"/>
  <c r="T84" i="2"/>
  <c r="U84" i="2"/>
  <c r="T20" i="4"/>
  <c r="V84" i="2"/>
  <c r="U53" i="2"/>
  <c r="V34" i="4"/>
  <c r="U20" i="4"/>
  <c r="T53" i="2"/>
  <c r="P33" i="3"/>
  <c r="O21" i="3"/>
  <c r="V53" i="2"/>
  <c r="W84" i="2"/>
  <c r="Q33" i="3"/>
  <c r="P21" i="3"/>
  <c r="W34" i="4"/>
  <c r="V20" i="4"/>
  <c r="Q21" i="3"/>
  <c r="R33" i="3"/>
  <c r="X84" i="2"/>
  <c r="X53" i="2"/>
  <c r="W53" i="2"/>
  <c r="X34" i="4"/>
  <c r="W20" i="4"/>
  <c r="Y84" i="2"/>
  <c r="Y53" i="2"/>
  <c r="C47" i="2"/>
  <c r="C50" i="2"/>
  <c r="X20" i="4"/>
  <c r="Y34" i="4"/>
  <c r="Y20" i="4"/>
  <c r="C14" i="4"/>
  <c r="S33" i="3"/>
  <c r="R21" i="3"/>
  <c r="C48" i="2"/>
  <c r="C15" i="4"/>
  <c r="C17" i="4"/>
  <c r="S21" i="3"/>
  <c r="U33" i="3"/>
  <c r="T33" i="3"/>
  <c r="U21" i="3"/>
  <c r="V33" i="3"/>
  <c r="T21" i="3"/>
  <c r="V21" i="3"/>
  <c r="W33" i="3"/>
  <c r="W21" i="3"/>
  <c r="X33" i="3"/>
  <c r="X21" i="3"/>
  <c r="Y33" i="3"/>
  <c r="Y21" i="3"/>
  <c r="C15" i="3"/>
  <c r="C16" i="3"/>
  <c r="C18" i="3"/>
</calcChain>
</file>

<file path=xl/comments1.xml><?xml version="1.0" encoding="utf-8"?>
<comments xmlns="http://schemas.openxmlformats.org/spreadsheetml/2006/main">
  <authors>
    <author>Claudia Florentin</author>
  </authors>
  <commentList>
    <comment ref="E19" authorId="0">
      <text>
        <r>
          <rPr>
            <sz val="9"/>
            <color indexed="81"/>
            <rFont val="Tahoma"/>
            <family val="2"/>
          </rPr>
          <t xml:space="preserve">Estos costos son referenciales. En caso de no contar con información específica se recomienda utilizar los valores propuestos.
</t>
        </r>
      </text>
    </comment>
  </commentList>
</comments>
</file>

<file path=xl/sharedStrings.xml><?xml version="1.0" encoding="utf-8"?>
<sst xmlns="http://schemas.openxmlformats.org/spreadsheetml/2006/main" count="857" uniqueCount="339">
  <si>
    <t>b- Adquisición de terreno</t>
  </si>
  <si>
    <t>d- Clausura del sitio de relleno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</si>
  <si>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</si>
  <si>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</si>
  <si>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</si>
  <si>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</si>
  <si>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</si>
  <si>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</si>
  <si>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</si>
  <si>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</si>
  <si>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</si>
  <si>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</si>
  <si>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</si>
  <si>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</si>
  <si>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AÑO 1</t>
  </si>
  <si>
    <t>AÑO 2</t>
  </si>
  <si>
    <t>AÑO 3</t>
  </si>
  <si>
    <t>AÑO 4</t>
  </si>
  <si>
    <t>AÑO 5</t>
  </si>
  <si>
    <t>MES 0</t>
  </si>
  <si>
    <t>Cantidad</t>
  </si>
  <si>
    <t>Unidad</t>
  </si>
  <si>
    <t>hs</t>
  </si>
  <si>
    <t>Costo U.</t>
  </si>
  <si>
    <t>Total</t>
  </si>
  <si>
    <t>t</t>
  </si>
  <si>
    <t>t/d</t>
  </si>
  <si>
    <t>Total disponer por día</t>
  </si>
  <si>
    <t>Movimiento de desechos</t>
  </si>
  <si>
    <t>Ancho de zanja</t>
  </si>
  <si>
    <t>Avance diario</t>
  </si>
  <si>
    <t>Densidad de compactación de residuos</t>
  </si>
  <si>
    <t>t/m3</t>
  </si>
  <si>
    <t>m</t>
  </si>
  <si>
    <t>Superficie de cierre diario</t>
  </si>
  <si>
    <t>m2</t>
  </si>
  <si>
    <t>Compactación de desechos</t>
  </si>
  <si>
    <t>Movimiento de tierra</t>
  </si>
  <si>
    <t>Compactación de la celda</t>
  </si>
  <si>
    <t>unid</t>
  </si>
  <si>
    <t>mes</t>
  </si>
  <si>
    <t>Horas de trabajo totales</t>
  </si>
  <si>
    <t>Horas de trabajo por hombre</t>
  </si>
  <si>
    <t>hs/mes</t>
  </si>
  <si>
    <t>meses</t>
  </si>
  <si>
    <t>Longitud de zanja</t>
  </si>
  <si>
    <t>Altura de zanja</t>
  </si>
  <si>
    <t>casas</t>
  </si>
  <si>
    <t>Tasa mensual de disposición</t>
  </si>
  <si>
    <t>Producción Per Cápita urbano</t>
  </si>
  <si>
    <t>Producción Per Cápita medido</t>
  </si>
  <si>
    <t>Gs/año</t>
  </si>
  <si>
    <t>Gl</t>
  </si>
  <si>
    <t>Ha</t>
  </si>
  <si>
    <t>Unid</t>
  </si>
  <si>
    <t>Gl/mes</t>
  </si>
  <si>
    <t>TOTAL</t>
  </si>
  <si>
    <t>e- Análisis de Laboratorio</t>
  </si>
  <si>
    <t>Personales</t>
  </si>
  <si>
    <t>• otros</t>
  </si>
  <si>
    <t>I- COSTOS DIRECTOS</t>
  </si>
  <si>
    <t>• Alquileres: (alquilar camiones)</t>
  </si>
  <si>
    <t xml:space="preserve">• Servicios básicos: energía eléctrica, agua potable, telefonía, internet y correo </t>
  </si>
  <si>
    <t>• Otros</t>
  </si>
  <si>
    <t>• Productos químicos y conexos: (combustibles y lubricantes)</t>
  </si>
  <si>
    <t>• Materiales de la construcción (para construir un centro de recuperación o contenedores)</t>
  </si>
  <si>
    <t>II- COSTOS INDIRECTOS</t>
  </si>
  <si>
    <t>b- Servicios</t>
  </si>
  <si>
    <t>c- Materiales y suministros consumidos</t>
  </si>
  <si>
    <t>• Alquileres: (de un depósito externo)</t>
  </si>
  <si>
    <t>Gs</t>
  </si>
  <si>
    <t>Longitud total de la recolección por mes</t>
  </si>
  <si>
    <t>Cantidad de camiones</t>
  </si>
  <si>
    <t>Longitud total promedio por camión de la recolección por dia</t>
  </si>
  <si>
    <t>Cantidad promedio de días de recolección por camión por semana</t>
  </si>
  <si>
    <t>año</t>
  </si>
  <si>
    <t>Costos de los camiones</t>
  </si>
  <si>
    <t>dias/semana</t>
  </si>
  <si>
    <t>Km/mes</t>
  </si>
  <si>
    <t>Km/día</t>
  </si>
  <si>
    <t>litros/mes</t>
  </si>
  <si>
    <t>%</t>
  </si>
  <si>
    <t>Costo promedio anual</t>
  </si>
  <si>
    <t>US$/t</t>
  </si>
  <si>
    <t>• Limpieza y desmonte</t>
  </si>
  <si>
    <t>• Movimiento de suelos</t>
  </si>
  <si>
    <t>• Cercas y puertas</t>
  </si>
  <si>
    <t>• Caseta y obrador</t>
  </si>
  <si>
    <t>• Construcción de vías de acceso</t>
  </si>
  <si>
    <t>• Construcción de estacionamiento</t>
  </si>
  <si>
    <t>• Instalación eléctrica/sanitarias/comunicación externa</t>
  </si>
  <si>
    <t>• Arborización</t>
  </si>
  <si>
    <t>• Drenaje pluvial</t>
  </si>
  <si>
    <t>• Drenaje lixiviados</t>
  </si>
  <si>
    <t>• Drenaje de gases</t>
  </si>
  <si>
    <t>• Gastos por electricidad/agua/comunicación</t>
  </si>
  <si>
    <t>• Otros (Freatímetros)</t>
  </si>
  <si>
    <t>• Estudios y diseño</t>
  </si>
  <si>
    <t xml:space="preserve">• Empastado </t>
  </si>
  <si>
    <t>• Estudios de calidad de agua freatímetros</t>
  </si>
  <si>
    <t>• Botas de Goma o zapatones de seguridad</t>
  </si>
  <si>
    <t xml:space="preserve">• Guantes </t>
  </si>
  <si>
    <t xml:space="preserve">• Uniformes para peones </t>
  </si>
  <si>
    <t xml:space="preserve">• Palas, azadas </t>
  </si>
  <si>
    <t>• Rastrillos, escobas metálicas</t>
  </si>
  <si>
    <t>• Escobillones, recogedores</t>
  </si>
  <si>
    <t>• Machetes</t>
  </si>
  <si>
    <t>• Carretillas</t>
  </si>
  <si>
    <t>• Papeleros</t>
  </si>
  <si>
    <t>• Bolsas Plásticas</t>
  </si>
  <si>
    <t>• Pisones</t>
  </si>
  <si>
    <t xml:space="preserve">• Rodillo Compactador </t>
  </si>
  <si>
    <t xml:space="preserve">• Escritorio </t>
  </si>
  <si>
    <t>• Sillas</t>
  </si>
  <si>
    <t>• Armario</t>
  </si>
  <si>
    <t>• Maquina de Escribir, computadoras</t>
  </si>
  <si>
    <t>• Maquina Calculadora</t>
  </si>
  <si>
    <t>• Útiles de Oficina</t>
  </si>
  <si>
    <t xml:space="preserve">• Director </t>
  </si>
  <si>
    <t>• Obreros permanentes (ayudantes y peones)</t>
  </si>
  <si>
    <r>
      <rPr>
        <sz val="11"/>
        <color indexed="8"/>
        <rFont val="Calibri"/>
        <family val="2"/>
      </rPr>
      <t>◦</t>
    </r>
    <r>
      <rPr>
        <sz val="9.3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Excavación manual</t>
    </r>
  </si>
  <si>
    <t>◦ Piedras</t>
  </si>
  <si>
    <t>a- Salarios (se suele establecer hasta un 10% del costo directo total)</t>
  </si>
  <si>
    <t>• sueldos administrador (proporcional a la dedicación)</t>
  </si>
  <si>
    <t>• sueldos fiscalizador (proporcional a la dedicación)</t>
  </si>
  <si>
    <t>• Personal administrativo (secretarios)</t>
  </si>
  <si>
    <r>
      <rPr>
        <sz val="11"/>
        <color indexed="8"/>
        <rFont val="Calibri"/>
        <family val="2"/>
      </rPr>
      <t>◦</t>
    </r>
    <r>
      <rPr>
        <sz val="11"/>
        <color indexed="8"/>
        <rFont val="Calibri"/>
        <family val="2"/>
      </rPr>
      <t xml:space="preserve"> sueldo</t>
    </r>
  </si>
  <si>
    <t>◦ aguinaldo</t>
  </si>
  <si>
    <t xml:space="preserve">◦ contribuciones IPS (Patronal: 16,5%; Empleado: 9%) </t>
  </si>
  <si>
    <t xml:space="preserve">• Jefes </t>
  </si>
  <si>
    <t>◦ prestaciones sociales a favor de funcionarios y empleados</t>
  </si>
  <si>
    <t>◦ incentivos</t>
  </si>
  <si>
    <t>◦ cesantía, preaviso y otros reconocimientos por extinción de la relación laboral</t>
  </si>
  <si>
    <t>• Servicios comerciales y financieros</t>
  </si>
  <si>
    <t>◦ bonificación familiar por hijos</t>
  </si>
  <si>
    <t>a- Servicios profesionales (consultorías, EIA, AA)</t>
  </si>
  <si>
    <t>• Uniformes para los personales</t>
  </si>
  <si>
    <t>g- Equipos de oficina</t>
  </si>
  <si>
    <t>• Depreciaciones de propiedades, planta y equipo (camión recolector)</t>
  </si>
  <si>
    <t>• Pago de créditos (para la compra del camión recolector)</t>
  </si>
  <si>
    <t>Descripción de costos</t>
  </si>
  <si>
    <t>Alto de celda diaria</t>
  </si>
  <si>
    <t>d- Equipos de oficina</t>
  </si>
  <si>
    <t>e- Consumo de activo fijo y bienes intangibles</t>
  </si>
  <si>
    <t>f- Gastos financieros</t>
  </si>
  <si>
    <t>g- Salarios</t>
  </si>
  <si>
    <t>h- Otros Gastos</t>
  </si>
  <si>
    <t>f- Herramientas e insumos</t>
  </si>
  <si>
    <t>Gs/mes/usario</t>
  </si>
  <si>
    <t>Tasa mensual de recolección</t>
  </si>
  <si>
    <t>Gs/mes/usuario</t>
  </si>
  <si>
    <t>Costo promedio de toneladas dispuestas</t>
  </si>
  <si>
    <t>• Útiles, materiales y suministros diversos: (productos para la limpieza)</t>
  </si>
  <si>
    <t>Costo promedio por toneladas recolectadas</t>
  </si>
  <si>
    <t>a- Servicios</t>
  </si>
  <si>
    <t>◦  Comisiones y gastos por servicios financieros y comerciales por cobros de tasas GIRS.</t>
  </si>
  <si>
    <t>◦  Servicios de Información: (avisos sobre horarios de rutas, centros de recuperación, etc.)</t>
  </si>
  <si>
    <t>◦  Seguros, reaseguros y otras obligaciones: (de los camiones de recolección y otros)</t>
  </si>
  <si>
    <t>◦  Capacitación y protocolo: (para congresos, cursos, charlas y actividades)</t>
  </si>
  <si>
    <t>◦  Mantenimiento y reparación: (de los camiones)</t>
  </si>
  <si>
    <t>Kg</t>
  </si>
  <si>
    <t>Capacidad promedio de carga por camiones por viaje</t>
  </si>
  <si>
    <t>Salario mínimo vigente</t>
  </si>
  <si>
    <t>Gs/mes</t>
  </si>
  <si>
    <t>Gs/dia</t>
  </si>
  <si>
    <t>Jornal diario vigente</t>
  </si>
  <si>
    <t xml:space="preserve">Cotización del Dólar </t>
  </si>
  <si>
    <t>Gs/US$</t>
  </si>
  <si>
    <t>Costo del Diesel</t>
  </si>
  <si>
    <t>Gs/litros</t>
  </si>
  <si>
    <t>US$/unidad</t>
  </si>
  <si>
    <t xml:space="preserve">Costo promedio del vehículo recolector y caja compactadora </t>
  </si>
  <si>
    <t>Costo promedio de un vehículo tumba</t>
  </si>
  <si>
    <t>t/año</t>
  </si>
  <si>
    <t>Cantidad de horas de barrida por día</t>
  </si>
  <si>
    <t>Cantidad promedio de días de barrido por semana</t>
  </si>
  <si>
    <t>Longitud total promedio barrido por dia en la ciudad</t>
  </si>
  <si>
    <t>Barrenderos</t>
  </si>
  <si>
    <t>Choferes</t>
  </si>
  <si>
    <t>Longitud total barrido por barrendero por calle (ambas cunetas) por jornada o día</t>
  </si>
  <si>
    <t>Cantidad de camiones recolectores</t>
  </si>
  <si>
    <t>hab/casas</t>
  </si>
  <si>
    <t>Cantidad total de camiones recolectores</t>
  </si>
  <si>
    <t>Total de calles a barrer por semana</t>
  </si>
  <si>
    <t>km/semana</t>
  </si>
  <si>
    <t>Km/barrendero.hs</t>
  </si>
  <si>
    <t>hab</t>
  </si>
  <si>
    <t>Total de Usuarios a alcanzar al final del PMGIRSU</t>
  </si>
  <si>
    <t>Población servida del PMGIRSU</t>
  </si>
  <si>
    <r>
      <t>Cantidad de horas de recolección por día [</t>
    </r>
    <r>
      <rPr>
        <i/>
        <sz val="11"/>
        <color indexed="8"/>
        <rFont val="Times New Roman"/>
        <family val="1"/>
      </rPr>
      <t>6; 12 o 18</t>
    </r>
    <r>
      <rPr>
        <sz val="11"/>
        <color theme="1"/>
        <rFont val="Calibri"/>
        <family val="2"/>
        <scheme val="minor"/>
      </rPr>
      <t>]</t>
    </r>
  </si>
  <si>
    <r>
      <t>Cantidad de camiones recolectores de reserva [</t>
    </r>
    <r>
      <rPr>
        <i/>
        <sz val="11"/>
        <color indexed="8"/>
        <rFont val="Times New Roman"/>
        <family val="1"/>
      </rPr>
      <t>+1 &lt;10unid o +10% de las unidades del servicio</t>
    </r>
    <r>
      <rPr>
        <sz val="11"/>
        <color theme="1"/>
        <rFont val="Calibri"/>
        <family val="2"/>
        <scheme val="minor"/>
      </rPr>
      <t>]</t>
    </r>
  </si>
  <si>
    <t>Longitud total barrido por barrendero por calle (ambas cunetas) por hora</t>
  </si>
  <si>
    <t>Km/barrendero.dia</t>
  </si>
  <si>
    <t>hs/dia</t>
  </si>
  <si>
    <t>Total de toneladas barrido por año</t>
  </si>
  <si>
    <t>Número de habitantes por viviendas o usuarios</t>
  </si>
  <si>
    <t>h- Consumo de activo fijo y bienes intangibles</t>
  </si>
  <si>
    <t>i- Gastos financieros</t>
  </si>
  <si>
    <t>j- Salarios</t>
  </si>
  <si>
    <t>• Depreciaciones de propiedades, planta, equipo y maquinarias</t>
  </si>
  <si>
    <t>• Pago de créditos (para la compra de la topadora o tractor u otros)</t>
  </si>
  <si>
    <t>Cantidad de camiones tumba o volquete</t>
  </si>
  <si>
    <t>Cantidad de pala cargadora</t>
  </si>
  <si>
    <t>Cantidad de topadora</t>
  </si>
  <si>
    <t>Costos de los camiones tumba o volquete</t>
  </si>
  <si>
    <t>Costos de las topadoras</t>
  </si>
  <si>
    <t>Costos de los camiones regadores</t>
  </si>
  <si>
    <t>Costos totales de los vehículos y maquinarias</t>
  </si>
  <si>
    <t>Costos de vehículo liviano de apoyo (camioneta, moto, otros)</t>
  </si>
  <si>
    <t>Cantidades de vehículos livianos de apoyo</t>
  </si>
  <si>
    <t>Cantidad de tractor compactador</t>
  </si>
  <si>
    <t>Costos de los tractores compactadores</t>
  </si>
  <si>
    <t>Cantidad de camiones regadores</t>
  </si>
  <si>
    <t>Costos de las palas cargadoras</t>
  </si>
  <si>
    <t>Vehículos livianos de apoyo</t>
  </si>
  <si>
    <t>Camiones tumba o volquete</t>
  </si>
  <si>
    <t>Pala cargadora</t>
  </si>
  <si>
    <t>Topadora</t>
  </si>
  <si>
    <t>Tractor compactador</t>
  </si>
  <si>
    <t>Camiones regadores</t>
  </si>
  <si>
    <t>l/d</t>
  </si>
  <si>
    <t>jornadas</t>
  </si>
  <si>
    <t>Relleno mecanizado: horas de operación por día</t>
  </si>
  <si>
    <t>Relleno manual: horas de operación por día</t>
  </si>
  <si>
    <t>L</t>
  </si>
  <si>
    <t>H</t>
  </si>
  <si>
    <t>I</t>
  </si>
  <si>
    <t>J</t>
  </si>
  <si>
    <t>K</t>
  </si>
  <si>
    <t>M</t>
  </si>
  <si>
    <t>Número de jornadas de 6 horas de trabajo diario</t>
  </si>
  <si>
    <t>US$/km</t>
  </si>
  <si>
    <t>Costo promedio por kilómetros barridos</t>
  </si>
  <si>
    <t>Personal maquinista</t>
  </si>
  <si>
    <t>Personal permanente (sereno, controlador o supervisor, otros)</t>
  </si>
  <si>
    <t>Peones de operarios totales del relleno (controlador, bascula, guía, guardia, sereno, otros)</t>
  </si>
  <si>
    <t>hs/personales,dia</t>
  </si>
  <si>
    <t>Personal permanente (sereno, supervisor, otros)</t>
  </si>
  <si>
    <t>Peones operativos por jornada</t>
  </si>
  <si>
    <t>• Retroexcavadora con pala cargadora (Costo de Alquiler - ida y vuelta)</t>
  </si>
  <si>
    <t>• Combustible y mantenimiento (Costo de alquiler por hora)</t>
  </si>
  <si>
    <t>A</t>
  </si>
  <si>
    <t>B</t>
  </si>
  <si>
    <t>Co0</t>
  </si>
  <si>
    <t>Co1</t>
  </si>
  <si>
    <t>Co2</t>
  </si>
  <si>
    <t>Co3</t>
  </si>
  <si>
    <t>Co4</t>
  </si>
  <si>
    <t>Co5</t>
  </si>
  <si>
    <t>Cx1</t>
  </si>
  <si>
    <t>Cx2</t>
  </si>
  <si>
    <t>Cx3</t>
  </si>
  <si>
    <t>Cx4</t>
  </si>
  <si>
    <t>Cx5</t>
  </si>
  <si>
    <t>Cx6</t>
  </si>
  <si>
    <t>D</t>
  </si>
  <si>
    <t>Y</t>
  </si>
  <si>
    <t>Z</t>
  </si>
  <si>
    <t>X</t>
  </si>
  <si>
    <t>z</t>
  </si>
  <si>
    <t>y</t>
  </si>
  <si>
    <t>F</t>
  </si>
  <si>
    <t>G</t>
  </si>
  <si>
    <t>C</t>
  </si>
  <si>
    <t>E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</si>
  <si>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</si>
  <si>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</si>
  <si>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</si>
  <si>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</si>
  <si>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</si>
  <si>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</si>
  <si>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</si>
  <si>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</si>
  <si>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</si>
  <si>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</si>
  <si>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</si>
  <si>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B2</t>
  </si>
  <si>
    <t>D2</t>
  </si>
  <si>
    <t>F2</t>
  </si>
  <si>
    <t>G2</t>
  </si>
  <si>
    <t>C2</t>
  </si>
  <si>
    <t>E2</t>
  </si>
  <si>
    <t>H2</t>
  </si>
  <si>
    <t>I2</t>
  </si>
  <si>
    <t>J2</t>
  </si>
  <si>
    <t>K2</t>
  </si>
  <si>
    <t>L2</t>
  </si>
  <si>
    <t>M2</t>
  </si>
  <si>
    <t>A.B.K/1000</t>
  </si>
  <si>
    <t>B3</t>
  </si>
  <si>
    <t>D3</t>
  </si>
  <si>
    <t>F3</t>
  </si>
  <si>
    <t>G3</t>
  </si>
  <si>
    <t>C3</t>
  </si>
  <si>
    <t>I3</t>
  </si>
  <si>
    <t>J3</t>
  </si>
  <si>
    <t>K3</t>
  </si>
  <si>
    <t>L3</t>
  </si>
  <si>
    <t>M3</t>
  </si>
  <si>
    <t>N3</t>
  </si>
  <si>
    <t>O3</t>
  </si>
  <si>
    <t>P3</t>
  </si>
  <si>
    <t>25.X.Y.Z/(Z.y)</t>
  </si>
  <si>
    <t>• Jornaleros (peones a destajo)</t>
  </si>
  <si>
    <t>• Capataz y choferes (obreros superiores, maquinistas, choferes, maestros obreros)</t>
  </si>
  <si>
    <t>• Capataz y choferes (obreros superiores, choferes, maestros obreros)</t>
  </si>
  <si>
    <t>• Capataz y choferes(obreros superiores, choferes, maestros obreros)</t>
  </si>
  <si>
    <t>Personales choferes</t>
  </si>
  <si>
    <r>
      <t>Personales ayudantes de la recolección (</t>
    </r>
    <r>
      <rPr>
        <i/>
        <sz val="11"/>
        <color indexed="8"/>
        <rFont val="Times New Roman"/>
        <family val="1"/>
      </rPr>
      <t>2 a 4 por camión</t>
    </r>
    <r>
      <rPr>
        <sz val="11"/>
        <color theme="1"/>
        <rFont val="Calibri"/>
        <family val="2"/>
        <scheme val="minor"/>
      </rPr>
      <t>)</t>
    </r>
  </si>
  <si>
    <t>Personales jornaleros de apoyo al servicio (peones)</t>
  </si>
  <si>
    <t>Personales permanentes barredores</t>
  </si>
  <si>
    <t>Personales jornaleros barredores</t>
  </si>
  <si>
    <t>L1</t>
  </si>
  <si>
    <t>• Alquileres: (Ej. de un depósito externo, compartido con otro Dpto Municipal: 25% comparte)</t>
  </si>
  <si>
    <r>
      <t>Vida útil del relleno sanitario [</t>
    </r>
    <r>
      <rPr>
        <b/>
        <i/>
        <sz val="11"/>
        <color indexed="8"/>
        <rFont val="Times New Roman"/>
        <family val="1"/>
      </rPr>
      <t>debe cubrir 12 meses</t>
    </r>
    <r>
      <rPr>
        <b/>
        <sz val="11"/>
        <color indexed="8"/>
        <rFont val="Calibri"/>
        <family val="2"/>
      </rPr>
      <t>]</t>
    </r>
  </si>
  <si>
    <t>a- Servicios profesionales (consultorías para proyectos, EIA, AA)</t>
  </si>
  <si>
    <t>c- Construcción del relleno sanitario</t>
  </si>
  <si>
    <t>• Combustible y mantenimiento para las maquinarias propias, caso del mecanizado</t>
  </si>
  <si>
    <t>Tasa de morosidad promedio previsto en plazo del PMGIRSU</t>
  </si>
  <si>
    <t>Tasa mensual de barrido</t>
  </si>
  <si>
    <t>Kg/hab.dia</t>
  </si>
  <si>
    <t>Kg/km.dia</t>
  </si>
  <si>
    <t>Generación de residuos por kilómetro barriodos</t>
  </si>
  <si>
    <t>Obs: Se podrá usar este dato en caso de no contar con el del municipio</t>
  </si>
  <si>
    <t>gl</t>
  </si>
  <si>
    <r>
      <t xml:space="preserve">Marca con "X" si se operará como relleno </t>
    </r>
    <r>
      <rPr>
        <b/>
        <sz val="11"/>
        <color indexed="10"/>
        <rFont val="Calibri"/>
        <family val="2"/>
      </rPr>
      <t>MANUAL</t>
    </r>
  </si>
  <si>
    <r>
      <t xml:space="preserve">Marca con "X" si se operará como relleno </t>
    </r>
    <r>
      <rPr>
        <b/>
        <sz val="11"/>
        <color indexed="10"/>
        <rFont val="Calibri"/>
        <family val="2"/>
      </rPr>
      <t>MECANIZADO</t>
    </r>
  </si>
  <si>
    <t>Obs. Adaptar estos valores al modelo del relleno sanitario a construir</t>
  </si>
  <si>
    <t>DATOS BÁSICOS DE PARTIDA PARA TODOS LOS SERVICIOS DEL PMGIRSU</t>
  </si>
  <si>
    <r>
      <t xml:space="preserve">La hoja </t>
    </r>
    <r>
      <rPr>
        <b/>
        <sz val="11"/>
        <color indexed="8"/>
        <rFont val="Calibri"/>
        <family val="2"/>
      </rPr>
      <t>DATOS BÁSICOS DE PARTIDA</t>
    </r>
    <r>
      <rPr>
        <sz val="11"/>
        <color theme="1"/>
        <rFont val="Calibri"/>
        <family val="2"/>
        <scheme val="minor"/>
      </rPr>
      <t xml:space="preserve"> contiene los datos mínimos que se deberán tener acordados o contar  antes de realizar la planificación.</t>
    </r>
  </si>
  <si>
    <t>ESTUDIO DE  COSTOS Y TASAS DE BARRIDO</t>
  </si>
  <si>
    <r>
      <t xml:space="preserve">La hoja </t>
    </r>
    <r>
      <rPr>
        <b/>
        <sz val="11"/>
        <color indexed="8"/>
        <rFont val="Calibri"/>
        <family val="2"/>
      </rPr>
      <t>BARRIDO</t>
    </r>
    <r>
      <rPr>
        <sz val="11"/>
        <color theme="1"/>
        <rFont val="Calibri"/>
        <family val="2"/>
        <scheme val="minor"/>
      </rPr>
      <t xml:space="preserve"> contiene los datos y cálculos necesarios para la realización del </t>
    </r>
    <r>
      <rPr>
        <b/>
        <sz val="11"/>
        <color indexed="8"/>
        <rFont val="Calibri"/>
        <family val="2"/>
      </rPr>
      <t>"Estudio de costos y tasas del serivicio de barrido".</t>
    </r>
  </si>
  <si>
    <r>
      <t xml:space="preserve">La hoja </t>
    </r>
    <r>
      <rPr>
        <b/>
        <sz val="11"/>
        <color indexed="8"/>
        <rFont val="Calibri"/>
        <family val="2"/>
      </rPr>
      <t>DISPOSICIÓN FINAL</t>
    </r>
    <r>
      <rPr>
        <sz val="11"/>
        <color theme="1"/>
        <rFont val="Calibri"/>
        <family val="2"/>
        <scheme val="minor"/>
      </rPr>
      <t xml:space="preserve"> contiene los datos y cálculos necesarios para la realización del </t>
    </r>
    <r>
      <rPr>
        <b/>
        <sz val="11"/>
        <color indexed="8"/>
        <rFont val="Calibri"/>
        <family val="2"/>
      </rPr>
      <t>"Estudio de costos y tasas del servicio de disposición final"</t>
    </r>
    <r>
      <rPr>
        <sz val="11"/>
        <color theme="1"/>
        <rFont val="Calibri"/>
        <family val="2"/>
        <scheme val="minor"/>
      </rPr>
      <t>.</t>
    </r>
  </si>
  <si>
    <r>
      <t xml:space="preserve">La hoja </t>
    </r>
    <r>
      <rPr>
        <b/>
        <sz val="11"/>
        <color indexed="8"/>
        <rFont val="Calibri"/>
        <family val="2"/>
      </rPr>
      <t>RECOLECCIÓN</t>
    </r>
    <r>
      <rPr>
        <sz val="11"/>
        <color theme="1"/>
        <rFont val="Calibri"/>
        <family val="2"/>
        <scheme val="minor"/>
      </rPr>
      <t xml:space="preserve"> contiene los datos y cálculos necesarios para la realización del </t>
    </r>
    <r>
      <rPr>
        <b/>
        <sz val="11"/>
        <color indexed="8"/>
        <rFont val="Calibri"/>
        <family val="2"/>
      </rPr>
      <t>"Estudio de costos y tasas del serivicio de recolección".</t>
    </r>
  </si>
  <si>
    <t>Las hojas ya continenen datos de referencia, se indican con la celda pintada en amarillo aquellas que el municipio deberá definir primeramente y luego cambiar y ajustar según su realidad.</t>
  </si>
  <si>
    <t>Obs: Se podrán usar estos datos en caso de no contar con el del municipio.</t>
  </si>
  <si>
    <t>ESTUDIO DE COSTOS Y TASAS DE RECOLECCIÓN</t>
  </si>
  <si>
    <t>ESTUDIO DE COSTOS Y TASAS DE DISPOSICIÓN FINAL</t>
  </si>
  <si>
    <t>Indicaciones para utilizar el documento : "PMGIRSU Estudio de costos y tasas - Poblaciones mayores"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</si>
</sst>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"/>
    <numFmt numFmtId="167" formatCode="#,##0.0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.35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color indexed="81"/>
      <name val="Tahoma"/>
      <family val="2"/>
    </font>
    <font>
      <b/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F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9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Font="1"/>
    <xf numFmtId="2" fontId="0" fillId="0" borderId="0" xfId="0" applyNumberForma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0" xfId="0" applyNumberFormat="1"/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8" fillId="0" borderId="0" xfId="0" applyNumberFormat="1" applyFont="1" applyBorder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left"/>
    </xf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9" fillId="0" borderId="0" xfId="0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0" fontId="0" fillId="0" borderId="1" xfId="0" applyFont="1" applyBorder="1"/>
    <xf numFmtId="0" fontId="0" fillId="0" borderId="4" xfId="0" applyFont="1" applyBorder="1"/>
    <xf numFmtId="0" fontId="0" fillId="0" borderId="5" xfId="0" applyFont="1" applyBorder="1"/>
    <xf numFmtId="0" fontId="12" fillId="0" borderId="4" xfId="0" applyFont="1" applyBorder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indent="8" readingOrder="1"/>
    </xf>
    <xf numFmtId="0" fontId="13" fillId="0" borderId="5" xfId="0" applyFont="1" applyBorder="1" applyAlignment="1">
      <alignment horizontal="left" vertical="center" indent="9" readingOrder="1"/>
    </xf>
    <xf numFmtId="0" fontId="12" fillId="0" borderId="5" xfId="0" applyFont="1" applyBorder="1" applyAlignment="1">
      <alignment horizontal="left" vertical="center" indent="8" readingOrder="1"/>
    </xf>
    <xf numFmtId="0" fontId="0" fillId="0" borderId="4" xfId="0" applyBorder="1"/>
    <xf numFmtId="0" fontId="0" fillId="0" borderId="5" xfId="0" applyBorder="1"/>
    <xf numFmtId="0" fontId="0" fillId="0" borderId="5" xfId="0" applyFont="1" applyBorder="1" applyAlignment="1">
      <alignment horizontal="left" indent="2"/>
    </xf>
    <xf numFmtId="0" fontId="0" fillId="0" borderId="5" xfId="0" applyBorder="1" applyAlignment="1">
      <alignment horizontal="left" vertical="center" indent="4"/>
    </xf>
    <xf numFmtId="0" fontId="0" fillId="0" borderId="6" xfId="0" applyBorder="1"/>
    <xf numFmtId="0" fontId="0" fillId="0" borderId="8" xfId="0" applyBorder="1"/>
    <xf numFmtId="0" fontId="0" fillId="0" borderId="6" xfId="0" applyFont="1" applyBorder="1"/>
    <xf numFmtId="0" fontId="0" fillId="0" borderId="8" xfId="0" applyFont="1" applyBorder="1"/>
    <xf numFmtId="0" fontId="0" fillId="0" borderId="5" xfId="0" applyBorder="1" applyAlignment="1">
      <alignment horizontal="left" indent="4"/>
    </xf>
    <xf numFmtId="0" fontId="12" fillId="0" borderId="5" xfId="0" applyFont="1" applyBorder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indent="5" readingOrder="1"/>
    </xf>
    <xf numFmtId="0" fontId="0" fillId="0" borderId="5" xfId="0" applyBorder="1" applyAlignment="1">
      <alignment horizontal="left" indent="2"/>
    </xf>
    <xf numFmtId="0" fontId="9" fillId="0" borderId="3" xfId="0" applyFont="1" applyBorder="1"/>
    <xf numFmtId="0" fontId="14" fillId="0" borderId="0" xfId="0" applyFont="1" applyAlignment="1">
      <alignment vertical="center"/>
    </xf>
    <xf numFmtId="0" fontId="0" fillId="0" borderId="0" xfId="0" applyFont="1" applyFill="1" applyAlignment="1">
      <alignment wrapText="1"/>
    </xf>
    <xf numFmtId="3" fontId="9" fillId="2" borderId="0" xfId="0" applyNumberFormat="1" applyFont="1" applyFill="1"/>
    <xf numFmtId="3" fontId="15" fillId="0" borderId="0" xfId="0" applyNumberFormat="1" applyFont="1"/>
    <xf numFmtId="0" fontId="0" fillId="0" borderId="5" xfId="0" applyBorder="1" applyAlignment="1">
      <alignment horizontal="left" vertical="center" indent="5"/>
    </xf>
    <xf numFmtId="0" fontId="1" fillId="0" borderId="5" xfId="0" applyFont="1" applyBorder="1" applyAlignment="1">
      <alignment horizontal="left" vertical="center" indent="5" readingOrder="1"/>
    </xf>
    <xf numFmtId="4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wrapText="1" indent="1"/>
    </xf>
    <xf numFmtId="164" fontId="0" fillId="0" borderId="0" xfId="0" applyNumberFormat="1"/>
    <xf numFmtId="167" fontId="0" fillId="0" borderId="0" xfId="0" applyNumberFormat="1"/>
    <xf numFmtId="4" fontId="15" fillId="0" borderId="0" xfId="0" applyNumberFormat="1" applyFont="1"/>
    <xf numFmtId="3" fontId="15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right" vertical="center"/>
    </xf>
    <xf numFmtId="0" fontId="0" fillId="0" borderId="5" xfId="0" applyFont="1" applyBorder="1" applyAlignment="1">
      <alignment horizontal="left" indent="4"/>
    </xf>
    <xf numFmtId="1" fontId="0" fillId="0" borderId="0" xfId="0" applyNumberForma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" fontId="0" fillId="0" borderId="0" xfId="0" applyNumberFormat="1" applyBorder="1"/>
    <xf numFmtId="165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/>
    <xf numFmtId="3" fontId="10" fillId="4" borderId="0" xfId="0" applyNumberFormat="1" applyFont="1" applyFill="1" applyAlignment="1">
      <alignment wrapText="1"/>
    </xf>
    <xf numFmtId="165" fontId="8" fillId="4" borderId="0" xfId="0" applyNumberFormat="1" applyFont="1" applyFill="1" applyAlignment="1">
      <alignment horizontal="right" vertical="center"/>
    </xf>
    <xf numFmtId="4" fontId="8" fillId="4" borderId="0" xfId="0" applyNumberFormat="1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right" vertical="center"/>
    </xf>
    <xf numFmtId="3" fontId="8" fillId="4" borderId="0" xfId="0" applyNumberFormat="1" applyFont="1" applyFill="1"/>
    <xf numFmtId="4" fontId="8" fillId="4" borderId="0" xfId="0" applyNumberFormat="1" applyFont="1" applyFill="1"/>
    <xf numFmtId="3" fontId="0" fillId="4" borderId="0" xfId="0" applyNumberFormat="1" applyFill="1" applyBorder="1"/>
    <xf numFmtId="1" fontId="0" fillId="4" borderId="0" xfId="0" applyNumberForma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3" fontId="0" fillId="4" borderId="0" xfId="0" applyNumberFormat="1" applyFill="1" applyBorder="1" applyAlignment="1">
      <alignment horizontal="right" vertical="center"/>
    </xf>
    <xf numFmtId="3" fontId="0" fillId="4" borderId="2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3" fontId="8" fillId="4" borderId="0" xfId="0" applyNumberFormat="1" applyFont="1" applyFill="1" applyBorder="1" applyAlignment="1">
      <alignment horizontal="right" vertical="center"/>
    </xf>
    <xf numFmtId="3" fontId="0" fillId="4" borderId="0" xfId="0" applyNumberFormat="1" applyFill="1" applyBorder="1" applyAlignment="1">
      <alignment horizontal="right"/>
    </xf>
    <xf numFmtId="3" fontId="9" fillId="4" borderId="0" xfId="0" applyNumberFormat="1" applyFont="1" applyFill="1" applyBorder="1" applyAlignment="1">
      <alignment horizontal="right" vertical="center"/>
    </xf>
    <xf numFmtId="165" fontId="9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horizontal="right" vertical="center"/>
    </xf>
    <xf numFmtId="3" fontId="9" fillId="4" borderId="0" xfId="0" applyNumberFormat="1" applyFont="1" applyFill="1" applyBorder="1" applyAlignment="1">
      <alignment horizontal="right"/>
    </xf>
    <xf numFmtId="3" fontId="0" fillId="0" borderId="0" xfId="0" applyNumberFormat="1" applyFill="1"/>
    <xf numFmtId="4" fontId="15" fillId="0" borderId="0" xfId="0" applyNumberFormat="1" applyFont="1" applyFill="1"/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3" fontId="15" fillId="0" borderId="0" xfId="0" applyNumberFormat="1" applyFont="1" applyFill="1" applyBorder="1"/>
    <xf numFmtId="3" fontId="15" fillId="0" borderId="0" xfId="0" applyNumberFormat="1" applyFont="1" applyBorder="1"/>
    <xf numFmtId="0" fontId="9" fillId="4" borderId="0" xfId="0" applyFont="1" applyFill="1" applyAlignment="1">
      <alignment wrapText="1"/>
    </xf>
    <xf numFmtId="3" fontId="0" fillId="0" borderId="0" xfId="0" applyNumberFormat="1" applyFill="1" applyAlignment="1">
      <alignment horizontal="left" vertical="center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3" fontId="0" fillId="4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"/>
  <sheetViews>
    <sheetView tabSelected="1" view="pageBreakPreview" zoomScale="110" zoomScaleNormal="100" zoomScaleSheetLayoutView="110" workbookViewId="0">
      <selection sqref="A1:K1"/>
    </sheetView>
  </sheetViews>
  <sheetFormatPr baseColWidth="10" defaultRowHeight="15" x14ac:dyDescent="0.25"/>
  <cols>
    <col min="1" max="1" width="3.140625" customWidth="1"/>
    <col min="11" max="11" width="9.7109375" customWidth="1"/>
  </cols>
  <sheetData>
    <row r="1" spans="1:11" ht="33.75" customHeight="1" x14ac:dyDescent="0.25">
      <c r="A1" s="155" t="s">
        <v>338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9.25" customHeight="1" x14ac:dyDescent="0.25">
      <c r="A2" s="2">
        <v>1</v>
      </c>
      <c r="B2" s="156" t="s">
        <v>329</v>
      </c>
      <c r="C2" s="156"/>
      <c r="D2" s="156"/>
      <c r="E2" s="156"/>
      <c r="F2" s="156"/>
      <c r="G2" s="156"/>
      <c r="H2" s="156"/>
      <c r="I2" s="156"/>
      <c r="J2" s="156"/>
      <c r="K2" s="156"/>
    </row>
    <row r="3" spans="1:11" ht="30" customHeight="1" x14ac:dyDescent="0.25">
      <c r="A3" s="2">
        <v>2</v>
      </c>
      <c r="B3" s="156" t="s">
        <v>331</v>
      </c>
      <c r="C3" s="156"/>
      <c r="D3" s="156"/>
      <c r="E3" s="156"/>
      <c r="F3" s="156"/>
      <c r="G3" s="156"/>
      <c r="H3" s="156"/>
      <c r="I3" s="156"/>
      <c r="J3" s="156"/>
      <c r="K3" s="156"/>
    </row>
    <row r="4" spans="1:11" ht="30.75" customHeight="1" x14ac:dyDescent="0.25">
      <c r="A4" s="2">
        <v>3</v>
      </c>
      <c r="B4" s="156" t="s">
        <v>333</v>
      </c>
      <c r="C4" s="156"/>
      <c r="D4" s="156"/>
      <c r="E4" s="156"/>
      <c r="F4" s="156"/>
      <c r="G4" s="156"/>
      <c r="H4" s="156"/>
      <c r="I4" s="156"/>
      <c r="J4" s="156"/>
      <c r="K4" s="156"/>
    </row>
    <row r="5" spans="1:11" ht="30.75" customHeight="1" x14ac:dyDescent="0.25">
      <c r="A5" s="2">
        <v>4</v>
      </c>
      <c r="B5" s="156" t="s">
        <v>332</v>
      </c>
      <c r="C5" s="156"/>
      <c r="D5" s="156"/>
      <c r="E5" s="156"/>
      <c r="F5" s="156"/>
      <c r="G5" s="156"/>
      <c r="H5" s="156"/>
      <c r="I5" s="156"/>
      <c r="J5" s="156"/>
      <c r="K5" s="156"/>
    </row>
    <row r="6" spans="1:11" ht="31.5" customHeight="1" x14ac:dyDescent="0.25">
      <c r="A6" s="2">
        <v>5</v>
      </c>
      <c r="B6" s="156" t="s">
        <v>334</v>
      </c>
      <c r="C6" s="156"/>
      <c r="D6" s="156"/>
      <c r="E6" s="156"/>
      <c r="F6" s="156"/>
      <c r="G6" s="156"/>
      <c r="H6" s="156"/>
      <c r="I6" s="156"/>
      <c r="J6" s="156"/>
      <c r="K6" s="156"/>
    </row>
  </sheetData>
  <mergeCells count="6">
    <mergeCell ref="B6:K6"/>
    <mergeCell ref="A1:K1"/>
    <mergeCell ref="B2:K2"/>
    <mergeCell ref="B3:K3"/>
    <mergeCell ref="B4:K4"/>
    <mergeCell ref="B5:K5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view="pageBreakPreview" zoomScale="90" zoomScaleNormal="70" zoomScaleSheetLayoutView="90" workbookViewId="0">
      <selection activeCell="B1" sqref="B1"/>
    </sheetView>
  </sheetViews>
  <sheetFormatPr baseColWidth="10" defaultRowHeight="15" x14ac:dyDescent="0.25"/>
  <cols>
    <col min="2" max="2" width="86.42578125" bestFit="1" customWidth="1"/>
    <col min="3" max="3" width="13.7109375" style="58" bestFit="1" customWidth="1"/>
    <col min="4" max="4" width="15.28515625" bestFit="1" customWidth="1"/>
  </cols>
  <sheetData>
    <row r="1" spans="1:4" ht="19.5" thickBot="1" x14ac:dyDescent="0.3">
      <c r="B1" s="97" t="s">
        <v>328</v>
      </c>
      <c r="D1" s="26"/>
    </row>
    <row r="2" spans="1:4" ht="15.75" thickBot="1" x14ac:dyDescent="0.3">
      <c r="A2" s="118" t="s">
        <v>241</v>
      </c>
      <c r="B2" s="8" t="s">
        <v>187</v>
      </c>
      <c r="C2" s="124">
        <f>525000*0.8/4.66</f>
        <v>90128.755364806857</v>
      </c>
      <c r="D2" s="37" t="s">
        <v>47</v>
      </c>
    </row>
    <row r="3" spans="1:4" ht="15.75" thickBot="1" x14ac:dyDescent="0.3">
      <c r="A3" s="119" t="s">
        <v>242</v>
      </c>
      <c r="B3" t="s">
        <v>195</v>
      </c>
      <c r="C3" s="126">
        <v>4.66</v>
      </c>
      <c r="D3" t="s">
        <v>181</v>
      </c>
    </row>
    <row r="4" spans="1:4" ht="15.75" thickBot="1" x14ac:dyDescent="0.3">
      <c r="A4" s="119" t="s">
        <v>263</v>
      </c>
      <c r="B4" t="s">
        <v>188</v>
      </c>
      <c r="C4" s="144">
        <f>+C3*C2</f>
        <v>419999.99999999994</v>
      </c>
      <c r="D4" t="s">
        <v>186</v>
      </c>
    </row>
    <row r="5" spans="1:4" ht="15.75" thickBot="1" x14ac:dyDescent="0.3">
      <c r="A5" s="119" t="s">
        <v>255</v>
      </c>
      <c r="B5" t="s">
        <v>162</v>
      </c>
      <c r="C5" s="127">
        <v>2192839</v>
      </c>
      <c r="D5" t="s">
        <v>163</v>
      </c>
    </row>
    <row r="6" spans="1:4" ht="15.75" thickBot="1" x14ac:dyDescent="0.3">
      <c r="A6" s="119" t="s">
        <v>264</v>
      </c>
      <c r="B6" t="s">
        <v>165</v>
      </c>
      <c r="C6" s="127">
        <v>84340</v>
      </c>
      <c r="D6" t="s">
        <v>164</v>
      </c>
    </row>
    <row r="7" spans="1:4" ht="15.75" thickBot="1" x14ac:dyDescent="0.3">
      <c r="A7" s="119" t="s">
        <v>261</v>
      </c>
      <c r="B7" t="s">
        <v>166</v>
      </c>
      <c r="C7" s="127">
        <v>6500</v>
      </c>
      <c r="D7" s="26" t="s">
        <v>167</v>
      </c>
    </row>
    <row r="8" spans="1:4" ht="15.75" thickBot="1" x14ac:dyDescent="0.3">
      <c r="A8" s="119" t="s">
        <v>262</v>
      </c>
      <c r="B8" t="s">
        <v>168</v>
      </c>
      <c r="C8" s="127">
        <v>4780</v>
      </c>
      <c r="D8" s="26" t="s">
        <v>169</v>
      </c>
    </row>
    <row r="9" spans="1:4" ht="15.75" thickBot="1" x14ac:dyDescent="0.3">
      <c r="A9" s="119" t="s">
        <v>225</v>
      </c>
      <c r="B9" t="s">
        <v>171</v>
      </c>
      <c r="C9" s="127">
        <f>(((30000+55000)*1.3))</f>
        <v>110500</v>
      </c>
      <c r="D9" s="26" t="s">
        <v>170</v>
      </c>
    </row>
    <row r="10" spans="1:4" ht="15.75" thickBot="1" x14ac:dyDescent="0.3">
      <c r="A10" s="119" t="s">
        <v>226</v>
      </c>
      <c r="B10" t="s">
        <v>172</v>
      </c>
      <c r="C10" s="127">
        <f>+(15000+6000)*1.3</f>
        <v>27300</v>
      </c>
      <c r="D10" s="26" t="s">
        <v>170</v>
      </c>
    </row>
    <row r="11" spans="1:4" ht="15.75" thickBot="1" x14ac:dyDescent="0.3">
      <c r="A11" s="119" t="s">
        <v>227</v>
      </c>
      <c r="B11" s="98" t="s">
        <v>50</v>
      </c>
      <c r="C11" s="126">
        <v>0.71</v>
      </c>
      <c r="D11" s="38" t="s">
        <v>320</v>
      </c>
    </row>
    <row r="12" spans="1:4" ht="15.75" thickBot="1" x14ac:dyDescent="0.3">
      <c r="A12" s="119" t="s">
        <v>228</v>
      </c>
      <c r="B12" s="7" t="s">
        <v>49</v>
      </c>
      <c r="C12" s="126">
        <f>1.2*C11</f>
        <v>0.85199999999999998</v>
      </c>
      <c r="D12" s="38" t="s">
        <v>320</v>
      </c>
    </row>
    <row r="13" spans="1:4" ht="15.75" thickBot="1" x14ac:dyDescent="0.3">
      <c r="A13" s="119" t="s">
        <v>224</v>
      </c>
      <c r="B13" s="7" t="s">
        <v>322</v>
      </c>
      <c r="C13" s="127">
        <v>185</v>
      </c>
      <c r="D13" s="26" t="s">
        <v>321</v>
      </c>
    </row>
    <row r="14" spans="1:4" ht="15.75" thickBot="1" x14ac:dyDescent="0.3">
      <c r="A14" s="119" t="s">
        <v>229</v>
      </c>
      <c r="B14" s="7" t="s">
        <v>318</v>
      </c>
      <c r="C14" s="125">
        <v>20</v>
      </c>
      <c r="D14" s="123" t="s">
        <v>81</v>
      </c>
    </row>
    <row r="16" spans="1:4" x14ac:dyDescent="0.25">
      <c r="A16" s="157" t="s">
        <v>335</v>
      </c>
      <c r="B16" s="157"/>
      <c r="C16" s="157"/>
      <c r="D16" s="157"/>
    </row>
    <row r="17" spans="1:4" x14ac:dyDescent="0.25">
      <c r="A17" s="157"/>
      <c r="B17" s="157"/>
      <c r="C17" s="157"/>
      <c r="D17" s="157"/>
    </row>
  </sheetData>
  <mergeCells count="1">
    <mergeCell ref="A16:D17"/>
  </mergeCells>
  <pageMargins left="0.7" right="0.7" top="0.75" bottom="0.75" header="0.3" footer="0.3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3"/>
  <sheetViews>
    <sheetView view="pageBreakPreview" zoomScale="80" zoomScaleNormal="60" zoomScaleSheetLayoutView="80" workbookViewId="0">
      <selection activeCell="B1" sqref="B1"/>
    </sheetView>
  </sheetViews>
  <sheetFormatPr baseColWidth="10" defaultRowHeight="15" x14ac:dyDescent="0.25"/>
  <cols>
    <col min="2" max="2" width="90.7109375" bestFit="1" customWidth="1"/>
    <col min="3" max="3" width="14.7109375" style="26" customWidth="1"/>
    <col min="4" max="4" width="18" style="26" customWidth="1"/>
    <col min="5" max="5" width="14.7109375" style="26" customWidth="1"/>
    <col min="6" max="6" width="16.5703125" style="26" customWidth="1"/>
    <col min="7" max="7" width="11.42578125" style="26" customWidth="1"/>
    <col min="8" max="13" width="12.7109375" style="26" customWidth="1"/>
    <col min="14" max="14" width="13.85546875" style="26" customWidth="1"/>
    <col min="15" max="19" width="12.7109375" style="26" customWidth="1"/>
    <col min="20" max="24" width="15.7109375" style="26" bestFit="1" customWidth="1"/>
    <col min="25" max="25" width="16.28515625" style="26" bestFit="1" customWidth="1"/>
    <col min="26" max="36" width="11.42578125" style="26"/>
  </cols>
  <sheetData>
    <row r="1" spans="1:36" ht="27" customHeight="1" thickBot="1" x14ac:dyDescent="0.3">
      <c r="B1" s="97" t="s">
        <v>330</v>
      </c>
    </row>
    <row r="2" spans="1:36" ht="15.75" thickBot="1" x14ac:dyDescent="0.3">
      <c r="A2" s="118" t="s">
        <v>265</v>
      </c>
      <c r="B2" s="8" t="s">
        <v>183</v>
      </c>
      <c r="C2" s="111">
        <f>0.0044*'DATOS BÁSICOS DE PARTIDA'!C2</f>
        <v>396.56652360515017</v>
      </c>
      <c r="D2" s="37" t="s">
        <v>184</v>
      </c>
      <c r="E2" s="152"/>
      <c r="F2" s="158" t="s">
        <v>323</v>
      </c>
      <c r="G2"/>
      <c r="H2" s="105"/>
      <c r="I2" s="108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5.75" thickBot="1" x14ac:dyDescent="0.3">
      <c r="A3" s="119" t="s">
        <v>266</v>
      </c>
      <c r="B3" t="s">
        <v>72</v>
      </c>
      <c r="C3" s="100">
        <f>ROUNDUP(185*C7/4000*((24.1-C6)/24),0)</f>
        <v>3</v>
      </c>
      <c r="D3" s="26" t="s">
        <v>54</v>
      </c>
      <c r="E3" s="153"/>
      <c r="F3" s="158"/>
      <c r="I3" s="108"/>
      <c r="J3" s="104"/>
    </row>
    <row r="4" spans="1:36" ht="15.75" thickBot="1" x14ac:dyDescent="0.3">
      <c r="A4" s="119" t="s">
        <v>267</v>
      </c>
      <c r="B4" t="s">
        <v>76</v>
      </c>
      <c r="C4" s="100">
        <f>+'DATOS BÁSICOS DE PARTIDA'!C10*'DATOS BÁSICOS DE PARTIDA'!C7*C3</f>
        <v>532350000</v>
      </c>
      <c r="D4" s="26" t="s">
        <v>70</v>
      </c>
      <c r="E4" s="144"/>
      <c r="F4" s="158"/>
      <c r="H4" s="103"/>
    </row>
    <row r="5" spans="1:36" ht="15.75" thickBot="1" x14ac:dyDescent="0.3">
      <c r="A5" s="119" t="s">
        <v>268</v>
      </c>
      <c r="B5" t="s">
        <v>175</v>
      </c>
      <c r="C5" s="129">
        <v>6</v>
      </c>
      <c r="D5" s="26" t="s">
        <v>77</v>
      </c>
      <c r="E5" s="144"/>
      <c r="F5" s="158"/>
      <c r="G5" s="144"/>
      <c r="H5" s="144"/>
    </row>
    <row r="6" spans="1:36" ht="15.75" thickBot="1" x14ac:dyDescent="0.3">
      <c r="A6" s="119" t="s">
        <v>269</v>
      </c>
      <c r="B6" t="s">
        <v>174</v>
      </c>
      <c r="C6" s="129">
        <v>6</v>
      </c>
      <c r="D6" s="26" t="s">
        <v>193</v>
      </c>
      <c r="E6" s="144"/>
      <c r="F6" s="158"/>
      <c r="G6" s="144"/>
      <c r="H6" s="144"/>
    </row>
    <row r="7" spans="1:36" ht="15.75" thickBot="1" x14ac:dyDescent="0.3">
      <c r="A7" s="119" t="s">
        <v>270</v>
      </c>
      <c r="B7" t="s">
        <v>176</v>
      </c>
      <c r="C7" s="110">
        <f>+C2/C5</f>
        <v>66.094420600858356</v>
      </c>
      <c r="D7" s="26" t="s">
        <v>79</v>
      </c>
      <c r="E7" s="144"/>
      <c r="F7" s="158"/>
      <c r="G7" s="144"/>
      <c r="H7" s="144"/>
      <c r="I7" s="109"/>
    </row>
    <row r="8" spans="1:36" ht="15.75" customHeight="1" thickBot="1" x14ac:dyDescent="0.3">
      <c r="A8" s="119" t="s">
        <v>271</v>
      </c>
      <c r="B8" t="s">
        <v>179</v>
      </c>
      <c r="C8" s="130">
        <v>0.6</v>
      </c>
      <c r="D8" s="26" t="s">
        <v>192</v>
      </c>
      <c r="E8" s="144"/>
      <c r="F8" s="158"/>
      <c r="G8" s="154"/>
      <c r="H8" s="154"/>
    </row>
    <row r="9" spans="1:36" ht="15.75" thickBot="1" x14ac:dyDescent="0.3">
      <c r="A9" s="119" t="s">
        <v>272</v>
      </c>
      <c r="B9" t="s">
        <v>191</v>
      </c>
      <c r="C9" s="145">
        <f>+C8/C6</f>
        <v>9.9999999999999992E-2</v>
      </c>
      <c r="D9" s="26" t="s">
        <v>185</v>
      </c>
      <c r="E9" s="154"/>
      <c r="F9" s="158"/>
      <c r="G9" s="154"/>
      <c r="H9" s="154"/>
    </row>
    <row r="10" spans="1:36" ht="15.75" thickBot="1" x14ac:dyDescent="0.3">
      <c r="A10" s="119" t="s">
        <v>273</v>
      </c>
      <c r="B10" t="s">
        <v>307</v>
      </c>
      <c r="C10" s="100">
        <f>ROUNDUP(C3*(C6/6),0)</f>
        <v>3</v>
      </c>
      <c r="D10" s="26" t="s">
        <v>178</v>
      </c>
      <c r="F10" s="158"/>
      <c r="G10" s="144"/>
      <c r="H10" s="144"/>
    </row>
    <row r="11" spans="1:36" ht="15.75" thickBot="1" x14ac:dyDescent="0.3">
      <c r="A11" s="119" t="s">
        <v>274</v>
      </c>
      <c r="B11" t="s">
        <v>310</v>
      </c>
      <c r="C11" s="100">
        <f>ROUNDUP(C7/(C6*C9),0)*0.75</f>
        <v>83.25</v>
      </c>
      <c r="D11" s="26" t="s">
        <v>177</v>
      </c>
      <c r="F11" s="158"/>
      <c r="G11" s="144"/>
      <c r="H11" s="144"/>
    </row>
    <row r="12" spans="1:36" ht="15.75" thickBot="1" x14ac:dyDescent="0.3">
      <c r="A12" s="119" t="s">
        <v>275</v>
      </c>
      <c r="B12" t="s">
        <v>311</v>
      </c>
      <c r="C12" s="100">
        <f>ROUNDUP(C7/(C6*C9),0)*0.25</f>
        <v>27.75</v>
      </c>
      <c r="D12" s="26" t="s">
        <v>177</v>
      </c>
      <c r="F12" s="158"/>
      <c r="G12" s="144"/>
      <c r="H12" s="144"/>
    </row>
    <row r="13" spans="1:36" ht="15.75" thickBot="1" x14ac:dyDescent="0.3">
      <c r="A13" s="119" t="s">
        <v>312</v>
      </c>
      <c r="B13" t="s">
        <v>194</v>
      </c>
      <c r="C13" s="100">
        <f>('DATOS BÁSICOS DE PARTIDA'!C13*C7/1000)*C5*52</f>
        <v>3814.9699570815442</v>
      </c>
      <c r="D13" s="26" t="s">
        <v>173</v>
      </c>
      <c r="F13" s="158"/>
    </row>
    <row r="14" spans="1:36" x14ac:dyDescent="0.25">
      <c r="B14" s="4" t="s">
        <v>82</v>
      </c>
      <c r="C14" s="26">
        <f>+Y20/5</f>
        <v>4357856809.5715694</v>
      </c>
      <c r="D14" s="36" t="s">
        <v>51</v>
      </c>
      <c r="F14" s="158"/>
    </row>
    <row r="15" spans="1:36" x14ac:dyDescent="0.25">
      <c r="B15" s="9" t="s">
        <v>232</v>
      </c>
      <c r="C15" s="112">
        <f>+(C14/'DATOS BÁSICOS DE PARTIDA'!C7)/(C2*52)</f>
        <v>32.511739434609488</v>
      </c>
      <c r="D15" s="99" t="s">
        <v>231</v>
      </c>
      <c r="F15" s="158"/>
    </row>
    <row r="16" spans="1:36" x14ac:dyDescent="0.25">
      <c r="B16" s="7" t="s">
        <v>318</v>
      </c>
      <c r="C16" s="122">
        <f>+'DATOS BÁSICOS DE PARTIDA'!C14</f>
        <v>20</v>
      </c>
      <c r="D16" s="123" t="s">
        <v>81</v>
      </c>
      <c r="F16" s="158"/>
    </row>
    <row r="17" spans="1:40" x14ac:dyDescent="0.25">
      <c r="B17" s="9" t="s">
        <v>319</v>
      </c>
      <c r="C17" s="44">
        <f>+C14/12/'DATOS BÁSICOS DE PARTIDA'!C2*(1+C16/100)</f>
        <v>4835.1458887151221</v>
      </c>
      <c r="D17" s="39" t="s">
        <v>150</v>
      </c>
      <c r="F17" s="158"/>
    </row>
    <row r="18" spans="1:40" ht="15.75" thickBot="1" x14ac:dyDescent="0.3"/>
    <row r="19" spans="1:40" x14ac:dyDescent="0.25">
      <c r="A19" s="76"/>
      <c r="B19" s="96" t="s">
        <v>140</v>
      </c>
      <c r="C19" s="11" t="s">
        <v>20</v>
      </c>
      <c r="D19" s="11" t="s">
        <v>21</v>
      </c>
      <c r="E19" s="135" t="s">
        <v>23</v>
      </c>
      <c r="F19" s="20" t="s">
        <v>24</v>
      </c>
      <c r="G19" s="22" t="s">
        <v>19</v>
      </c>
      <c r="H19" s="10" t="s">
        <v>2</v>
      </c>
      <c r="I19" s="11" t="s">
        <v>3</v>
      </c>
      <c r="J19" s="11" t="s">
        <v>4</v>
      </c>
      <c r="K19" s="11" t="s">
        <v>5</v>
      </c>
      <c r="L19" s="11" t="s">
        <v>6</v>
      </c>
      <c r="M19" s="11" t="s">
        <v>7</v>
      </c>
      <c r="N19" s="11" t="s">
        <v>8</v>
      </c>
      <c r="O19" s="11" t="s">
        <v>9</v>
      </c>
      <c r="P19" s="11" t="s">
        <v>10</v>
      </c>
      <c r="Q19" s="11" t="s">
        <v>11</v>
      </c>
      <c r="R19" s="11" t="s">
        <v>12</v>
      </c>
      <c r="S19" s="12" t="s">
        <v>13</v>
      </c>
      <c r="T19" s="10" t="s">
        <v>14</v>
      </c>
      <c r="U19" s="22" t="s">
        <v>15</v>
      </c>
      <c r="V19" s="11" t="s">
        <v>16</v>
      </c>
      <c r="W19" s="22" t="s">
        <v>17</v>
      </c>
      <c r="X19" s="10" t="s">
        <v>18</v>
      </c>
      <c r="Y19" s="22" t="s">
        <v>56</v>
      </c>
      <c r="Z19"/>
      <c r="AA19"/>
      <c r="AB19"/>
      <c r="AC19"/>
      <c r="AD19"/>
      <c r="AE19"/>
      <c r="AF19"/>
      <c r="AG19"/>
      <c r="AH19"/>
      <c r="AI19"/>
      <c r="AJ19"/>
    </row>
    <row r="20" spans="1:40" ht="15.75" thickBot="1" x14ac:dyDescent="0.3">
      <c r="A20" s="90"/>
      <c r="B20" s="91"/>
      <c r="C20" s="25"/>
      <c r="D20" s="25"/>
      <c r="E20" s="17"/>
      <c r="F20" s="18"/>
      <c r="G20" s="24">
        <f t="shared" ref="G20:Y20" si="0">SUM(G22:G113)</f>
        <v>904000</v>
      </c>
      <c r="H20" s="17">
        <f>SUM(H22:H113)</f>
        <v>388561504.96429747</v>
      </c>
      <c r="I20" s="17">
        <f t="shared" si="0"/>
        <v>366981504.96429747</v>
      </c>
      <c r="J20" s="17">
        <f t="shared" si="0"/>
        <v>366981504.96429747</v>
      </c>
      <c r="K20" s="17">
        <f t="shared" si="0"/>
        <v>366981504.96429747</v>
      </c>
      <c r="L20" s="17">
        <f t="shared" si="0"/>
        <v>366981504.96429747</v>
      </c>
      <c r="M20" s="17">
        <f t="shared" si="0"/>
        <v>366981504.96429747</v>
      </c>
      <c r="N20" s="17">
        <f t="shared" si="0"/>
        <v>380749004.96429747</v>
      </c>
      <c r="O20" s="17">
        <f t="shared" si="0"/>
        <v>366981504.96429747</v>
      </c>
      <c r="P20" s="17">
        <f t="shared" si="0"/>
        <v>366981504.96429747</v>
      </c>
      <c r="Q20" s="17">
        <f t="shared" si="0"/>
        <v>366981504.96429747</v>
      </c>
      <c r="R20" s="17">
        <f t="shared" si="0"/>
        <v>366981504.96429747</v>
      </c>
      <c r="S20" s="18">
        <f t="shared" si="0"/>
        <v>366981504.96429747</v>
      </c>
      <c r="T20" s="16">
        <f t="shared" si="0"/>
        <v>4440029559.5715694</v>
      </c>
      <c r="U20" s="16">
        <f t="shared" si="0"/>
        <v>4439125559.5715694</v>
      </c>
      <c r="V20" s="16">
        <f t="shared" si="0"/>
        <v>4303376309.5715704</v>
      </c>
      <c r="W20" s="16">
        <f t="shared" si="0"/>
        <v>4303376309.5715704</v>
      </c>
      <c r="X20" s="16">
        <f t="shared" si="0"/>
        <v>4303376309.5715704</v>
      </c>
      <c r="Y20" s="24">
        <f t="shared" si="0"/>
        <v>21789284047.857849</v>
      </c>
      <c r="Z20"/>
      <c r="AA20"/>
      <c r="AB20"/>
      <c r="AC20"/>
      <c r="AD20"/>
      <c r="AE20"/>
      <c r="AF20"/>
      <c r="AG20"/>
      <c r="AH20"/>
      <c r="AI20"/>
      <c r="AJ20"/>
    </row>
    <row r="21" spans="1:40" x14ac:dyDescent="0.25">
      <c r="A21" s="84"/>
      <c r="B21" s="78"/>
      <c r="C21" s="28"/>
      <c r="D21" s="28"/>
      <c r="E21" s="28"/>
      <c r="F21" s="29"/>
      <c r="G21" s="33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27"/>
      <c r="U21" s="33"/>
      <c r="V21" s="28"/>
      <c r="W21" s="33"/>
      <c r="X21" s="27"/>
      <c r="Y21" s="33"/>
    </row>
    <row r="22" spans="1:40" x14ac:dyDescent="0.25">
      <c r="A22" s="79" t="s">
        <v>60</v>
      </c>
      <c r="B22" s="85"/>
      <c r="C22" s="28"/>
      <c r="D22" s="28"/>
      <c r="E22" s="28"/>
      <c r="F22" s="29"/>
      <c r="G22" s="33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7"/>
      <c r="U22" s="33"/>
      <c r="V22" s="28"/>
      <c r="W22" s="33"/>
      <c r="X22" s="27"/>
      <c r="Y22" s="33"/>
    </row>
    <row r="23" spans="1:40" s="26" customFormat="1" x14ac:dyDescent="0.25">
      <c r="A23" s="84"/>
      <c r="B23" s="86" t="s">
        <v>154</v>
      </c>
      <c r="C23" s="28"/>
      <c r="D23" s="28"/>
      <c r="E23" s="28"/>
      <c r="F23" s="29"/>
      <c r="G23" s="33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T23" s="27"/>
      <c r="U23" s="33"/>
      <c r="V23" s="28"/>
      <c r="W23" s="33"/>
      <c r="X23" s="27"/>
      <c r="Y23" s="33"/>
      <c r="AK23"/>
      <c r="AL23"/>
      <c r="AM23"/>
      <c r="AN23"/>
    </row>
    <row r="24" spans="1:40" s="26" customFormat="1" x14ac:dyDescent="0.25">
      <c r="A24" s="84"/>
      <c r="B24" s="87" t="s">
        <v>61</v>
      </c>
      <c r="C24" s="28"/>
      <c r="D24" s="28"/>
      <c r="E24" s="28">
        <v>0</v>
      </c>
      <c r="F24" s="29">
        <f t="shared" ref="F24:F32" si="1">+E24*C24</f>
        <v>0</v>
      </c>
      <c r="G24" s="33"/>
      <c r="H24" s="27">
        <f>+F24</f>
        <v>0</v>
      </c>
      <c r="I24" s="28">
        <f t="shared" ref="I24:S32" si="2">+H24</f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R24" s="28">
        <f t="shared" si="2"/>
        <v>0</v>
      </c>
      <c r="S24" s="29">
        <f t="shared" si="2"/>
        <v>0</v>
      </c>
      <c r="T24" s="53">
        <f>G24+SUM(H24:S24)</f>
        <v>0</v>
      </c>
      <c r="U24" s="33">
        <f>+SUM(H24:S24)</f>
        <v>0</v>
      </c>
      <c r="V24" s="28">
        <f t="shared" ref="V24:X32" si="3">+U24</f>
        <v>0</v>
      </c>
      <c r="W24" s="33">
        <f t="shared" si="3"/>
        <v>0</v>
      </c>
      <c r="X24" s="27">
        <f t="shared" si="3"/>
        <v>0</v>
      </c>
      <c r="Y24" s="33">
        <f t="shared" ref="Y24:Y32" si="4">SUM(T24:X24)</f>
        <v>0</v>
      </c>
      <c r="AK24"/>
      <c r="AL24"/>
      <c r="AM24"/>
      <c r="AN24"/>
    </row>
    <row r="25" spans="1:40" s="26" customFormat="1" x14ac:dyDescent="0.25">
      <c r="A25" s="84"/>
      <c r="B25" s="87" t="s">
        <v>62</v>
      </c>
      <c r="C25" s="28"/>
      <c r="D25" s="28"/>
      <c r="E25" s="28">
        <v>0</v>
      </c>
      <c r="F25" s="29">
        <f t="shared" si="1"/>
        <v>0</v>
      </c>
      <c r="G25" s="33"/>
      <c r="H25" s="27">
        <f t="shared" ref="H25:H32" si="5">+F25</f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28">
        <f t="shared" si="2"/>
        <v>0</v>
      </c>
      <c r="O25" s="28">
        <f t="shared" si="2"/>
        <v>0</v>
      </c>
      <c r="P25" s="28">
        <f t="shared" si="2"/>
        <v>0</v>
      </c>
      <c r="Q25" s="28">
        <f t="shared" si="2"/>
        <v>0</v>
      </c>
      <c r="R25" s="28">
        <f t="shared" si="2"/>
        <v>0</v>
      </c>
      <c r="S25" s="29">
        <f t="shared" si="2"/>
        <v>0</v>
      </c>
      <c r="T25" s="53">
        <f t="shared" ref="T25:T45" si="6">G25+SUM(H25:S25)</f>
        <v>0</v>
      </c>
      <c r="U25" s="33">
        <f t="shared" ref="U25:U59" si="7">+SUM(H25:S25)</f>
        <v>0</v>
      </c>
      <c r="V25" s="28">
        <f t="shared" si="3"/>
        <v>0</v>
      </c>
      <c r="W25" s="33">
        <f t="shared" si="3"/>
        <v>0</v>
      </c>
      <c r="X25" s="27">
        <f t="shared" si="3"/>
        <v>0</v>
      </c>
      <c r="Y25" s="33">
        <f t="shared" si="4"/>
        <v>0</v>
      </c>
      <c r="AK25"/>
      <c r="AL25"/>
      <c r="AM25"/>
      <c r="AN25"/>
    </row>
    <row r="26" spans="1:40" s="26" customFormat="1" x14ac:dyDescent="0.25">
      <c r="A26" s="84"/>
      <c r="B26" s="87" t="s">
        <v>133</v>
      </c>
      <c r="C26" s="28"/>
      <c r="D26" s="28"/>
      <c r="E26" s="28">
        <v>0</v>
      </c>
      <c r="F26" s="29">
        <f t="shared" si="1"/>
        <v>0</v>
      </c>
      <c r="G26" s="33"/>
      <c r="H26" s="27">
        <f t="shared" si="5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8">
        <f t="shared" si="2"/>
        <v>0</v>
      </c>
      <c r="M26" s="28">
        <f t="shared" si="2"/>
        <v>0</v>
      </c>
      <c r="N26" s="28">
        <f t="shared" si="2"/>
        <v>0</v>
      </c>
      <c r="O26" s="28">
        <f t="shared" si="2"/>
        <v>0</v>
      </c>
      <c r="P26" s="28">
        <f t="shared" si="2"/>
        <v>0</v>
      </c>
      <c r="Q26" s="28">
        <f t="shared" si="2"/>
        <v>0</v>
      </c>
      <c r="R26" s="28">
        <f t="shared" si="2"/>
        <v>0</v>
      </c>
      <c r="S26" s="29">
        <f t="shared" si="2"/>
        <v>0</v>
      </c>
      <c r="T26" s="53">
        <f t="shared" si="6"/>
        <v>0</v>
      </c>
      <c r="U26" s="33">
        <f t="shared" si="7"/>
        <v>0</v>
      </c>
      <c r="V26" s="28">
        <f t="shared" si="3"/>
        <v>0</v>
      </c>
      <c r="W26" s="33">
        <f t="shared" si="3"/>
        <v>0</v>
      </c>
      <c r="X26" s="27">
        <f t="shared" si="3"/>
        <v>0</v>
      </c>
      <c r="Y26" s="33">
        <f t="shared" si="4"/>
        <v>0</v>
      </c>
      <c r="AK26"/>
      <c r="AL26"/>
      <c r="AM26"/>
      <c r="AN26"/>
    </row>
    <row r="27" spans="1:40" s="26" customFormat="1" x14ac:dyDescent="0.25">
      <c r="A27" s="84"/>
      <c r="B27" s="101" t="s">
        <v>156</v>
      </c>
      <c r="C27" s="131">
        <v>1</v>
      </c>
      <c r="D27" s="28" t="s">
        <v>40</v>
      </c>
      <c r="E27" s="148">
        <v>1200000</v>
      </c>
      <c r="F27" s="29">
        <f t="shared" si="1"/>
        <v>1200000</v>
      </c>
      <c r="G27" s="33"/>
      <c r="H27" s="27">
        <f t="shared" si="5"/>
        <v>1200000</v>
      </c>
      <c r="I27" s="28">
        <v>0</v>
      </c>
      <c r="J27" s="28">
        <f t="shared" si="2"/>
        <v>0</v>
      </c>
      <c r="K27" s="28">
        <f t="shared" si="2"/>
        <v>0</v>
      </c>
      <c r="L27" s="28">
        <f t="shared" si="2"/>
        <v>0</v>
      </c>
      <c r="M27" s="28">
        <f t="shared" si="2"/>
        <v>0</v>
      </c>
      <c r="N27" s="28">
        <f>+H27</f>
        <v>1200000</v>
      </c>
      <c r="O27" s="28">
        <v>0</v>
      </c>
      <c r="P27" s="28">
        <f t="shared" si="2"/>
        <v>0</v>
      </c>
      <c r="Q27" s="28">
        <f t="shared" si="2"/>
        <v>0</v>
      </c>
      <c r="R27" s="28">
        <f t="shared" si="2"/>
        <v>0</v>
      </c>
      <c r="S27" s="29">
        <f t="shared" si="2"/>
        <v>0</v>
      </c>
      <c r="T27" s="53">
        <f t="shared" si="6"/>
        <v>2400000</v>
      </c>
      <c r="U27" s="33">
        <f t="shared" si="7"/>
        <v>2400000</v>
      </c>
      <c r="V27" s="28">
        <f t="shared" si="3"/>
        <v>2400000</v>
      </c>
      <c r="W27" s="33">
        <f t="shared" si="3"/>
        <v>2400000</v>
      </c>
      <c r="X27" s="27">
        <f t="shared" si="3"/>
        <v>2400000</v>
      </c>
      <c r="Y27" s="33">
        <f t="shared" si="4"/>
        <v>12000000</v>
      </c>
      <c r="AK27"/>
      <c r="AL27"/>
      <c r="AM27"/>
      <c r="AN27"/>
    </row>
    <row r="28" spans="1:40" s="26" customFormat="1" x14ac:dyDescent="0.25">
      <c r="A28" s="84"/>
      <c r="B28" s="101" t="s">
        <v>155</v>
      </c>
      <c r="C28" s="28"/>
      <c r="D28" s="28"/>
      <c r="E28" s="148">
        <v>0</v>
      </c>
      <c r="F28" s="29">
        <f t="shared" si="1"/>
        <v>0</v>
      </c>
      <c r="G28" s="33"/>
      <c r="H28" s="27">
        <f t="shared" si="5"/>
        <v>0</v>
      </c>
      <c r="I28" s="28">
        <f>+H28</f>
        <v>0</v>
      </c>
      <c r="J28" s="28">
        <f t="shared" si="2"/>
        <v>0</v>
      </c>
      <c r="K28" s="28">
        <f t="shared" si="2"/>
        <v>0</v>
      </c>
      <c r="L28" s="28">
        <f t="shared" si="2"/>
        <v>0</v>
      </c>
      <c r="M28" s="28">
        <f t="shared" si="2"/>
        <v>0</v>
      </c>
      <c r="N28" s="28">
        <f t="shared" si="2"/>
        <v>0</v>
      </c>
      <c r="O28" s="28">
        <f t="shared" si="2"/>
        <v>0</v>
      </c>
      <c r="P28" s="28">
        <f t="shared" si="2"/>
        <v>0</v>
      </c>
      <c r="Q28" s="28">
        <f t="shared" si="2"/>
        <v>0</v>
      </c>
      <c r="R28" s="28">
        <f t="shared" si="2"/>
        <v>0</v>
      </c>
      <c r="S28" s="29">
        <f t="shared" si="2"/>
        <v>0</v>
      </c>
      <c r="T28" s="53">
        <f t="shared" si="6"/>
        <v>0</v>
      </c>
      <c r="U28" s="33">
        <f t="shared" si="7"/>
        <v>0</v>
      </c>
      <c r="V28" s="28">
        <f t="shared" si="3"/>
        <v>0</v>
      </c>
      <c r="W28" s="33">
        <f t="shared" si="3"/>
        <v>0</v>
      </c>
      <c r="X28" s="27">
        <f t="shared" si="3"/>
        <v>0</v>
      </c>
      <c r="Y28" s="33">
        <f t="shared" si="4"/>
        <v>0</v>
      </c>
      <c r="AK28"/>
      <c r="AL28"/>
      <c r="AM28"/>
      <c r="AN28"/>
    </row>
    <row r="29" spans="1:40" s="26" customFormat="1" x14ac:dyDescent="0.25">
      <c r="A29" s="84"/>
      <c r="B29" s="101" t="s">
        <v>157</v>
      </c>
      <c r="C29" s="131">
        <v>1</v>
      </c>
      <c r="D29" s="28" t="s">
        <v>40</v>
      </c>
      <c r="E29" s="148">
        <f>350000+600000/12</f>
        <v>400000</v>
      </c>
      <c r="F29" s="29">
        <f t="shared" si="1"/>
        <v>400000</v>
      </c>
      <c r="G29" s="33"/>
      <c r="H29" s="27">
        <f t="shared" si="5"/>
        <v>400000</v>
      </c>
      <c r="I29" s="28">
        <f>+H29</f>
        <v>400000</v>
      </c>
      <c r="J29" s="28">
        <f t="shared" si="2"/>
        <v>400000</v>
      </c>
      <c r="K29" s="28">
        <f t="shared" si="2"/>
        <v>400000</v>
      </c>
      <c r="L29" s="28">
        <f t="shared" si="2"/>
        <v>400000</v>
      </c>
      <c r="M29" s="28">
        <f t="shared" si="2"/>
        <v>400000</v>
      </c>
      <c r="N29" s="28">
        <f t="shared" si="2"/>
        <v>400000</v>
      </c>
      <c r="O29" s="28">
        <f t="shared" si="2"/>
        <v>400000</v>
      </c>
      <c r="P29" s="28">
        <f t="shared" si="2"/>
        <v>400000</v>
      </c>
      <c r="Q29" s="28">
        <f t="shared" si="2"/>
        <v>400000</v>
      </c>
      <c r="R29" s="28">
        <f t="shared" si="2"/>
        <v>400000</v>
      </c>
      <c r="S29" s="29">
        <f t="shared" si="2"/>
        <v>400000</v>
      </c>
      <c r="T29" s="53">
        <f t="shared" si="6"/>
        <v>4800000</v>
      </c>
      <c r="U29" s="33">
        <f t="shared" si="7"/>
        <v>4800000</v>
      </c>
      <c r="V29" s="28">
        <f t="shared" si="3"/>
        <v>4800000</v>
      </c>
      <c r="W29" s="33">
        <f t="shared" si="3"/>
        <v>4800000</v>
      </c>
      <c r="X29" s="27">
        <f t="shared" si="3"/>
        <v>4800000</v>
      </c>
      <c r="Y29" s="33">
        <f t="shared" si="4"/>
        <v>24000000</v>
      </c>
      <c r="AK29"/>
      <c r="AL29"/>
      <c r="AM29"/>
      <c r="AN29"/>
    </row>
    <row r="30" spans="1:40" s="26" customFormat="1" x14ac:dyDescent="0.25">
      <c r="A30" s="84"/>
      <c r="B30" s="101" t="s">
        <v>158</v>
      </c>
      <c r="C30" s="28"/>
      <c r="D30" s="28" t="s">
        <v>75</v>
      </c>
      <c r="E30" s="148">
        <v>0</v>
      </c>
      <c r="F30" s="29">
        <f t="shared" si="1"/>
        <v>0</v>
      </c>
      <c r="G30" s="33"/>
      <c r="H30" s="27">
        <f t="shared" si="5"/>
        <v>0</v>
      </c>
      <c r="I30" s="28">
        <f>+H30</f>
        <v>0</v>
      </c>
      <c r="J30" s="28">
        <f t="shared" si="2"/>
        <v>0</v>
      </c>
      <c r="K30" s="28">
        <f t="shared" si="2"/>
        <v>0</v>
      </c>
      <c r="L30" s="28">
        <f t="shared" si="2"/>
        <v>0</v>
      </c>
      <c r="M30" s="28">
        <f t="shared" si="2"/>
        <v>0</v>
      </c>
      <c r="N30" s="28">
        <f t="shared" si="2"/>
        <v>0</v>
      </c>
      <c r="O30" s="28">
        <f t="shared" si="2"/>
        <v>0</v>
      </c>
      <c r="P30" s="28">
        <f t="shared" si="2"/>
        <v>0</v>
      </c>
      <c r="Q30" s="28">
        <f t="shared" si="2"/>
        <v>0</v>
      </c>
      <c r="R30" s="28">
        <f t="shared" si="2"/>
        <v>0</v>
      </c>
      <c r="S30" s="29">
        <f t="shared" si="2"/>
        <v>0</v>
      </c>
      <c r="T30" s="53">
        <f t="shared" si="6"/>
        <v>0</v>
      </c>
      <c r="U30" s="33">
        <f t="shared" si="7"/>
        <v>0</v>
      </c>
      <c r="V30" s="28">
        <f t="shared" si="3"/>
        <v>0</v>
      </c>
      <c r="W30" s="33">
        <f t="shared" si="3"/>
        <v>0</v>
      </c>
      <c r="X30" s="27">
        <f t="shared" si="3"/>
        <v>0</v>
      </c>
      <c r="Y30" s="33">
        <f t="shared" si="4"/>
        <v>0</v>
      </c>
      <c r="AK30"/>
      <c r="AL30"/>
      <c r="AM30"/>
      <c r="AN30"/>
    </row>
    <row r="31" spans="1:40" s="26" customFormat="1" x14ac:dyDescent="0.25">
      <c r="A31" s="84"/>
      <c r="B31" s="101" t="s">
        <v>159</v>
      </c>
      <c r="C31" s="131">
        <v>1</v>
      </c>
      <c r="D31" s="28" t="s">
        <v>40</v>
      </c>
      <c r="E31" s="28">
        <f>2*0.3*F34</f>
        <v>2661405.5278969952</v>
      </c>
      <c r="F31" s="29">
        <f t="shared" si="1"/>
        <v>2661405.5278969952</v>
      </c>
      <c r="G31" s="33"/>
      <c r="H31" s="27">
        <f t="shared" si="5"/>
        <v>2661405.5278969952</v>
      </c>
      <c r="I31" s="28">
        <f>+H31</f>
        <v>2661405.5278969952</v>
      </c>
      <c r="J31" s="28">
        <f t="shared" si="2"/>
        <v>2661405.5278969952</v>
      </c>
      <c r="K31" s="28">
        <f t="shared" si="2"/>
        <v>2661405.5278969952</v>
      </c>
      <c r="L31" s="28">
        <f t="shared" si="2"/>
        <v>2661405.5278969952</v>
      </c>
      <c r="M31" s="28">
        <f t="shared" si="2"/>
        <v>2661405.5278969952</v>
      </c>
      <c r="N31" s="28">
        <f t="shared" si="2"/>
        <v>2661405.5278969952</v>
      </c>
      <c r="O31" s="28">
        <f t="shared" si="2"/>
        <v>2661405.5278969952</v>
      </c>
      <c r="P31" s="28">
        <f t="shared" si="2"/>
        <v>2661405.5278969952</v>
      </c>
      <c r="Q31" s="28">
        <f t="shared" si="2"/>
        <v>2661405.5278969952</v>
      </c>
      <c r="R31" s="28">
        <f t="shared" si="2"/>
        <v>2661405.5278969952</v>
      </c>
      <c r="S31" s="29">
        <f t="shared" si="2"/>
        <v>2661405.5278969952</v>
      </c>
      <c r="T31" s="53">
        <f t="shared" si="6"/>
        <v>31936866.334763948</v>
      </c>
      <c r="U31" s="33">
        <f t="shared" si="7"/>
        <v>31936866.334763948</v>
      </c>
      <c r="V31" s="28">
        <f t="shared" si="3"/>
        <v>31936866.334763948</v>
      </c>
      <c r="W31" s="33">
        <f t="shared" si="3"/>
        <v>31936866.334763948</v>
      </c>
      <c r="X31" s="27">
        <f t="shared" si="3"/>
        <v>31936866.334763948</v>
      </c>
      <c r="Y31" s="33">
        <f t="shared" si="4"/>
        <v>159684331.67381975</v>
      </c>
      <c r="AK31"/>
      <c r="AL31"/>
      <c r="AM31"/>
      <c r="AN31"/>
    </row>
    <row r="32" spans="1:40" s="26" customFormat="1" x14ac:dyDescent="0.25">
      <c r="A32" s="84"/>
      <c r="B32" s="87" t="s">
        <v>63</v>
      </c>
      <c r="C32" s="28"/>
      <c r="D32" s="28"/>
      <c r="E32" s="28">
        <v>0</v>
      </c>
      <c r="F32" s="29">
        <f t="shared" si="1"/>
        <v>0</v>
      </c>
      <c r="G32" s="33"/>
      <c r="H32" s="27">
        <f t="shared" si="5"/>
        <v>0</v>
      </c>
      <c r="I32" s="28">
        <f>+H32</f>
        <v>0</v>
      </c>
      <c r="J32" s="28">
        <f t="shared" si="2"/>
        <v>0</v>
      </c>
      <c r="K32" s="28">
        <f t="shared" si="2"/>
        <v>0</v>
      </c>
      <c r="L32" s="28">
        <f t="shared" si="2"/>
        <v>0</v>
      </c>
      <c r="M32" s="28">
        <f t="shared" si="2"/>
        <v>0</v>
      </c>
      <c r="N32" s="28">
        <f t="shared" si="2"/>
        <v>0</v>
      </c>
      <c r="O32" s="28">
        <f t="shared" si="2"/>
        <v>0</v>
      </c>
      <c r="P32" s="28">
        <f t="shared" si="2"/>
        <v>0</v>
      </c>
      <c r="Q32" s="28">
        <f t="shared" si="2"/>
        <v>0</v>
      </c>
      <c r="R32" s="28">
        <f t="shared" si="2"/>
        <v>0</v>
      </c>
      <c r="S32" s="29">
        <f t="shared" si="2"/>
        <v>0</v>
      </c>
      <c r="T32" s="53">
        <f t="shared" si="6"/>
        <v>0</v>
      </c>
      <c r="U32" s="33">
        <f t="shared" si="7"/>
        <v>0</v>
      </c>
      <c r="V32" s="28">
        <f t="shared" si="3"/>
        <v>0</v>
      </c>
      <c r="W32" s="33">
        <f t="shared" si="3"/>
        <v>0</v>
      </c>
      <c r="X32" s="27">
        <f t="shared" si="3"/>
        <v>0</v>
      </c>
      <c r="Y32" s="33">
        <f t="shared" si="4"/>
        <v>0</v>
      </c>
      <c r="AK32"/>
      <c r="AL32"/>
      <c r="AM32"/>
      <c r="AN32"/>
    </row>
    <row r="33" spans="1:40" s="26" customFormat="1" x14ac:dyDescent="0.25">
      <c r="A33" s="84"/>
      <c r="B33" s="86" t="s">
        <v>68</v>
      </c>
      <c r="C33" s="28"/>
      <c r="D33" s="28"/>
      <c r="E33" s="28"/>
      <c r="F33" s="29"/>
      <c r="G33" s="33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  <c r="T33" s="53">
        <f t="shared" si="6"/>
        <v>0</v>
      </c>
      <c r="U33" s="33">
        <f t="shared" si="7"/>
        <v>0</v>
      </c>
      <c r="V33" s="28"/>
      <c r="W33" s="33"/>
      <c r="X33" s="27"/>
      <c r="Y33" s="33"/>
      <c r="AK33"/>
      <c r="AL33"/>
      <c r="AM33"/>
      <c r="AN33"/>
    </row>
    <row r="34" spans="1:40" s="26" customFormat="1" x14ac:dyDescent="0.25">
      <c r="A34" s="84"/>
      <c r="B34" s="87" t="s">
        <v>64</v>
      </c>
      <c r="C34" s="121">
        <f>0.45*C2*4</f>
        <v>713.81974248927031</v>
      </c>
      <c r="D34" s="28" t="s">
        <v>80</v>
      </c>
      <c r="E34" s="131">
        <f>+'DATOS BÁSICOS DE PARTIDA'!C8*1.3</f>
        <v>6214</v>
      </c>
      <c r="F34" s="29">
        <f t="shared" ref="F34:F45" si="8">+E34*C34</f>
        <v>4435675.8798283255</v>
      </c>
      <c r="G34" s="33"/>
      <c r="H34" s="27">
        <f t="shared" ref="H34:H45" si="9">+F34</f>
        <v>4435675.8798283255</v>
      </c>
      <c r="I34" s="28">
        <f t="shared" ref="I34:S35" si="10">+H34</f>
        <v>4435675.8798283255</v>
      </c>
      <c r="J34" s="28">
        <f t="shared" si="10"/>
        <v>4435675.8798283255</v>
      </c>
      <c r="K34" s="28">
        <f t="shared" si="10"/>
        <v>4435675.8798283255</v>
      </c>
      <c r="L34" s="28">
        <f t="shared" si="10"/>
        <v>4435675.8798283255</v>
      </c>
      <c r="M34" s="28">
        <f t="shared" si="10"/>
        <v>4435675.8798283255</v>
      </c>
      <c r="N34" s="28">
        <f t="shared" si="10"/>
        <v>4435675.8798283255</v>
      </c>
      <c r="O34" s="28">
        <f t="shared" si="10"/>
        <v>4435675.8798283255</v>
      </c>
      <c r="P34" s="28">
        <f t="shared" si="10"/>
        <v>4435675.8798283255</v>
      </c>
      <c r="Q34" s="28">
        <f t="shared" si="10"/>
        <v>4435675.8798283255</v>
      </c>
      <c r="R34" s="28">
        <f t="shared" si="10"/>
        <v>4435675.8798283255</v>
      </c>
      <c r="S34" s="29">
        <f t="shared" si="10"/>
        <v>4435675.8798283255</v>
      </c>
      <c r="T34" s="53">
        <f t="shared" si="6"/>
        <v>53228110.557939909</v>
      </c>
      <c r="U34" s="33">
        <f t="shared" si="7"/>
        <v>53228110.557939909</v>
      </c>
      <c r="V34" s="28">
        <f t="shared" ref="V34:X45" si="11">+U34</f>
        <v>53228110.557939909</v>
      </c>
      <c r="W34" s="33">
        <f t="shared" si="11"/>
        <v>53228110.557939909</v>
      </c>
      <c r="X34" s="27">
        <f t="shared" si="11"/>
        <v>53228110.557939909</v>
      </c>
      <c r="Y34" s="33">
        <f>SUM(T34:X34)</f>
        <v>266140552.78969955</v>
      </c>
      <c r="AK34"/>
      <c r="AL34"/>
      <c r="AM34"/>
      <c r="AN34"/>
    </row>
    <row r="35" spans="1:40" s="26" customFormat="1" x14ac:dyDescent="0.25">
      <c r="A35" s="84"/>
      <c r="B35" s="87" t="s">
        <v>65</v>
      </c>
      <c r="C35" s="28">
        <v>0</v>
      </c>
      <c r="D35" s="28" t="s">
        <v>324</v>
      </c>
      <c r="E35" s="148">
        <v>0</v>
      </c>
      <c r="F35" s="29">
        <f t="shared" si="8"/>
        <v>0</v>
      </c>
      <c r="G35" s="33"/>
      <c r="H35" s="27">
        <f t="shared" si="9"/>
        <v>0</v>
      </c>
      <c r="I35" s="28">
        <f t="shared" si="10"/>
        <v>0</v>
      </c>
      <c r="J35" s="28">
        <f t="shared" si="10"/>
        <v>0</v>
      </c>
      <c r="K35" s="28">
        <f t="shared" si="10"/>
        <v>0</v>
      </c>
      <c r="L35" s="28">
        <f t="shared" si="10"/>
        <v>0</v>
      </c>
      <c r="M35" s="28">
        <f t="shared" si="10"/>
        <v>0</v>
      </c>
      <c r="N35" s="28">
        <f t="shared" si="10"/>
        <v>0</v>
      </c>
      <c r="O35" s="28">
        <f t="shared" si="10"/>
        <v>0</v>
      </c>
      <c r="P35" s="28">
        <f t="shared" si="10"/>
        <v>0</v>
      </c>
      <c r="Q35" s="28">
        <f t="shared" si="10"/>
        <v>0</v>
      </c>
      <c r="R35" s="28">
        <f t="shared" si="10"/>
        <v>0</v>
      </c>
      <c r="S35" s="29">
        <f t="shared" si="10"/>
        <v>0</v>
      </c>
      <c r="T35" s="53">
        <f t="shared" si="6"/>
        <v>0</v>
      </c>
      <c r="U35" s="33">
        <f t="shared" si="7"/>
        <v>0</v>
      </c>
      <c r="V35" s="28">
        <f t="shared" si="11"/>
        <v>0</v>
      </c>
      <c r="W35" s="33">
        <f t="shared" si="11"/>
        <v>0</v>
      </c>
      <c r="X35" s="27">
        <f t="shared" si="11"/>
        <v>0</v>
      </c>
      <c r="Y35" s="33">
        <f>SUM(T35:X35)</f>
        <v>0</v>
      </c>
      <c r="AK35"/>
      <c r="AL35"/>
      <c r="AM35"/>
      <c r="AN35"/>
    </row>
    <row r="36" spans="1:40" x14ac:dyDescent="0.25">
      <c r="A36" s="77"/>
      <c r="B36" s="80" t="s">
        <v>100</v>
      </c>
      <c r="C36" s="73">
        <f>+C11+C10</f>
        <v>86.25</v>
      </c>
      <c r="D36" s="46" t="s">
        <v>39</v>
      </c>
      <c r="E36" s="148">
        <v>90000</v>
      </c>
      <c r="F36" s="52">
        <f t="shared" si="8"/>
        <v>7762500</v>
      </c>
      <c r="G36" s="53"/>
      <c r="H36" s="49">
        <f t="shared" si="9"/>
        <v>7762500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3">
        <f t="shared" si="6"/>
        <v>7762500</v>
      </c>
      <c r="U36" s="33">
        <f t="shared" si="7"/>
        <v>7762500</v>
      </c>
      <c r="V36" s="53">
        <f t="shared" si="11"/>
        <v>7762500</v>
      </c>
      <c r="W36" s="53">
        <f t="shared" si="11"/>
        <v>7762500</v>
      </c>
      <c r="X36" s="53">
        <f t="shared" si="11"/>
        <v>7762500</v>
      </c>
      <c r="Y36" s="53">
        <f t="shared" ref="Y36:Y43" si="12">SUM(T36:X36)</f>
        <v>38812500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x14ac:dyDescent="0.25">
      <c r="A37" s="77"/>
      <c r="B37" s="80" t="s">
        <v>101</v>
      </c>
      <c r="C37" s="73">
        <f>+C36*2</f>
        <v>172.5</v>
      </c>
      <c r="D37" s="46" t="s">
        <v>39</v>
      </c>
      <c r="E37" s="148">
        <v>6000</v>
      </c>
      <c r="F37" s="52">
        <f t="shared" si="8"/>
        <v>1035000</v>
      </c>
      <c r="G37" s="53"/>
      <c r="H37" s="49">
        <f t="shared" si="9"/>
        <v>1035000</v>
      </c>
      <c r="I37" s="51">
        <f>+H37</f>
        <v>1035000</v>
      </c>
      <c r="J37" s="51">
        <f t="shared" ref="J37:S37" si="13">+H37</f>
        <v>1035000</v>
      </c>
      <c r="K37" s="51">
        <f t="shared" si="13"/>
        <v>1035000</v>
      </c>
      <c r="L37" s="51">
        <f t="shared" si="13"/>
        <v>1035000</v>
      </c>
      <c r="M37" s="51">
        <f t="shared" si="13"/>
        <v>1035000</v>
      </c>
      <c r="N37" s="51">
        <f t="shared" si="13"/>
        <v>1035000</v>
      </c>
      <c r="O37" s="51">
        <f t="shared" si="13"/>
        <v>1035000</v>
      </c>
      <c r="P37" s="51">
        <f t="shared" si="13"/>
        <v>1035000</v>
      </c>
      <c r="Q37" s="51">
        <f t="shared" si="13"/>
        <v>1035000</v>
      </c>
      <c r="R37" s="51">
        <f t="shared" si="13"/>
        <v>1035000</v>
      </c>
      <c r="S37" s="52">
        <f t="shared" si="13"/>
        <v>1035000</v>
      </c>
      <c r="T37" s="53">
        <f t="shared" si="6"/>
        <v>12420000</v>
      </c>
      <c r="U37" s="33">
        <f t="shared" si="7"/>
        <v>12420000</v>
      </c>
      <c r="V37" s="53">
        <f t="shared" si="11"/>
        <v>12420000</v>
      </c>
      <c r="W37" s="53">
        <f t="shared" si="11"/>
        <v>12420000</v>
      </c>
      <c r="X37" s="53">
        <f t="shared" si="11"/>
        <v>12420000</v>
      </c>
      <c r="Y37" s="53">
        <f t="shared" si="12"/>
        <v>62100000</v>
      </c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x14ac:dyDescent="0.25">
      <c r="A38" s="77"/>
      <c r="B38" s="80" t="s">
        <v>136</v>
      </c>
      <c r="C38" s="73">
        <f>+C11</f>
        <v>83.25</v>
      </c>
      <c r="D38" s="46" t="s">
        <v>39</v>
      </c>
      <c r="E38" s="148">
        <v>150000</v>
      </c>
      <c r="F38" s="52">
        <f t="shared" si="8"/>
        <v>12487500</v>
      </c>
      <c r="G38" s="53"/>
      <c r="H38" s="49">
        <f t="shared" si="9"/>
        <v>12487500</v>
      </c>
      <c r="I38" s="51"/>
      <c r="J38" s="51"/>
      <c r="K38" s="51"/>
      <c r="L38" s="51"/>
      <c r="M38" s="28"/>
      <c r="N38" s="28">
        <f>+H38</f>
        <v>12487500</v>
      </c>
      <c r="O38" s="51"/>
      <c r="P38" s="51"/>
      <c r="Q38" s="51"/>
      <c r="R38" s="51"/>
      <c r="S38" s="52"/>
      <c r="T38" s="53">
        <f t="shared" si="6"/>
        <v>24975000</v>
      </c>
      <c r="U38" s="33">
        <f t="shared" si="7"/>
        <v>24975000</v>
      </c>
      <c r="V38" s="53">
        <f t="shared" si="11"/>
        <v>24975000</v>
      </c>
      <c r="W38" s="53">
        <f t="shared" si="11"/>
        <v>24975000</v>
      </c>
      <c r="X38" s="53">
        <f t="shared" si="11"/>
        <v>24975000</v>
      </c>
      <c r="Y38" s="53">
        <f t="shared" si="12"/>
        <v>124875000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5">
      <c r="A39" s="77"/>
      <c r="B39" s="80" t="s">
        <v>103</v>
      </c>
      <c r="C39" s="132">
        <v>2</v>
      </c>
      <c r="D39" s="46" t="s">
        <v>39</v>
      </c>
      <c r="E39" s="148">
        <v>25000</v>
      </c>
      <c r="F39" s="52">
        <f t="shared" si="8"/>
        <v>50000</v>
      </c>
      <c r="G39" s="53"/>
      <c r="H39" s="49">
        <f t="shared" si="9"/>
        <v>50000</v>
      </c>
      <c r="I39" s="51"/>
      <c r="J39" s="51"/>
      <c r="K39" s="51"/>
      <c r="L39" s="51"/>
      <c r="M39" s="28"/>
      <c r="N39" s="28">
        <f>+H39</f>
        <v>50000</v>
      </c>
      <c r="O39" s="51"/>
      <c r="P39" s="51"/>
      <c r="Q39" s="51"/>
      <c r="R39" s="51"/>
      <c r="S39" s="52"/>
      <c r="T39" s="53">
        <f t="shared" si="6"/>
        <v>100000</v>
      </c>
      <c r="U39" s="33">
        <f t="shared" si="7"/>
        <v>100000</v>
      </c>
      <c r="V39" s="53">
        <f t="shared" si="11"/>
        <v>100000</v>
      </c>
      <c r="W39" s="53">
        <f t="shared" si="11"/>
        <v>100000</v>
      </c>
      <c r="X39" s="53">
        <f t="shared" si="11"/>
        <v>100000</v>
      </c>
      <c r="Y39" s="53">
        <f t="shared" si="12"/>
        <v>500000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5">
      <c r="A40" s="77"/>
      <c r="B40" s="80" t="s">
        <v>104</v>
      </c>
      <c r="C40" s="132">
        <v>1</v>
      </c>
      <c r="D40" s="46" t="s">
        <v>39</v>
      </c>
      <c r="E40" s="148">
        <v>30000</v>
      </c>
      <c r="F40" s="52">
        <f t="shared" si="8"/>
        <v>30000</v>
      </c>
      <c r="G40" s="53"/>
      <c r="H40" s="49">
        <f t="shared" si="9"/>
        <v>30000</v>
      </c>
      <c r="I40" s="51"/>
      <c r="J40" s="51"/>
      <c r="K40" s="51"/>
      <c r="L40" s="51"/>
      <c r="M40" s="28"/>
      <c r="N40" s="28">
        <f>+H40</f>
        <v>30000</v>
      </c>
      <c r="O40" s="51"/>
      <c r="P40" s="51"/>
      <c r="Q40" s="51"/>
      <c r="R40" s="51"/>
      <c r="S40" s="52"/>
      <c r="T40" s="53">
        <f t="shared" si="6"/>
        <v>60000</v>
      </c>
      <c r="U40" s="33">
        <f t="shared" si="7"/>
        <v>60000</v>
      </c>
      <c r="V40" s="53">
        <f t="shared" si="11"/>
        <v>60000</v>
      </c>
      <c r="W40" s="53">
        <f t="shared" si="11"/>
        <v>60000</v>
      </c>
      <c r="X40" s="53">
        <f t="shared" si="11"/>
        <v>60000</v>
      </c>
      <c r="Y40" s="53">
        <f t="shared" si="12"/>
        <v>300000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25">
      <c r="A41" s="77"/>
      <c r="B41" s="80" t="s">
        <v>105</v>
      </c>
      <c r="C41" s="132">
        <v>0</v>
      </c>
      <c r="D41" s="46" t="s">
        <v>39</v>
      </c>
      <c r="E41" s="148">
        <v>15000</v>
      </c>
      <c r="F41" s="52">
        <f t="shared" si="8"/>
        <v>0</v>
      </c>
      <c r="G41" s="53"/>
      <c r="H41" s="49">
        <f t="shared" si="9"/>
        <v>0</v>
      </c>
      <c r="I41" s="51">
        <f>+H41</f>
        <v>0</v>
      </c>
      <c r="J41" s="51">
        <f t="shared" ref="J41:S41" si="14">+H41</f>
        <v>0</v>
      </c>
      <c r="K41" s="51">
        <f t="shared" si="14"/>
        <v>0</v>
      </c>
      <c r="L41" s="51">
        <f t="shared" si="14"/>
        <v>0</v>
      </c>
      <c r="M41" s="51">
        <f t="shared" si="14"/>
        <v>0</v>
      </c>
      <c r="N41" s="51">
        <f t="shared" si="14"/>
        <v>0</v>
      </c>
      <c r="O41" s="51">
        <f t="shared" si="14"/>
        <v>0</v>
      </c>
      <c r="P41" s="51">
        <f t="shared" si="14"/>
        <v>0</v>
      </c>
      <c r="Q41" s="51">
        <f t="shared" si="14"/>
        <v>0</v>
      </c>
      <c r="R41" s="51">
        <f t="shared" si="14"/>
        <v>0</v>
      </c>
      <c r="S41" s="52">
        <f t="shared" si="14"/>
        <v>0</v>
      </c>
      <c r="T41" s="53">
        <f t="shared" si="6"/>
        <v>0</v>
      </c>
      <c r="U41" s="33">
        <f t="shared" si="7"/>
        <v>0</v>
      </c>
      <c r="V41" s="53">
        <f t="shared" si="11"/>
        <v>0</v>
      </c>
      <c r="W41" s="53">
        <f t="shared" si="11"/>
        <v>0</v>
      </c>
      <c r="X41" s="53">
        <f t="shared" si="11"/>
        <v>0</v>
      </c>
      <c r="Y41" s="53">
        <f t="shared" si="12"/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25">
      <c r="A42" s="77"/>
      <c r="B42" s="80" t="s">
        <v>106</v>
      </c>
      <c r="C42" s="132">
        <v>0</v>
      </c>
      <c r="D42" s="46" t="s">
        <v>39</v>
      </c>
      <c r="E42" s="148">
        <v>30000</v>
      </c>
      <c r="F42" s="52">
        <f t="shared" si="8"/>
        <v>0</v>
      </c>
      <c r="G42" s="53"/>
      <c r="H42" s="49">
        <f t="shared" si="9"/>
        <v>0</v>
      </c>
      <c r="I42" s="51"/>
      <c r="J42" s="51"/>
      <c r="K42" s="51"/>
      <c r="L42" s="51"/>
      <c r="M42" s="51">
        <f>+H42</f>
        <v>0</v>
      </c>
      <c r="N42" s="51"/>
      <c r="O42" s="51"/>
      <c r="P42" s="51"/>
      <c r="Q42" s="51"/>
      <c r="R42" s="51"/>
      <c r="S42" s="52"/>
      <c r="T42" s="53">
        <f t="shared" si="6"/>
        <v>0</v>
      </c>
      <c r="U42" s="33">
        <f t="shared" si="7"/>
        <v>0</v>
      </c>
      <c r="V42" s="53">
        <f t="shared" si="11"/>
        <v>0</v>
      </c>
      <c r="W42" s="53">
        <f t="shared" si="11"/>
        <v>0</v>
      </c>
      <c r="X42" s="53">
        <f t="shared" si="11"/>
        <v>0</v>
      </c>
      <c r="Y42" s="53">
        <f t="shared" si="12"/>
        <v>0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5">
      <c r="A43" s="77"/>
      <c r="B43" s="80" t="s">
        <v>108</v>
      </c>
      <c r="C43" s="132">
        <v>0</v>
      </c>
      <c r="D43" s="46" t="s">
        <v>39</v>
      </c>
      <c r="E43" s="148">
        <v>250000</v>
      </c>
      <c r="F43" s="52">
        <f t="shared" si="8"/>
        <v>0</v>
      </c>
      <c r="G43" s="53"/>
      <c r="H43" s="49">
        <f t="shared" si="9"/>
        <v>0</v>
      </c>
      <c r="I43" s="51">
        <f>+H43</f>
        <v>0</v>
      </c>
      <c r="J43" s="51">
        <f t="shared" ref="J43:S44" si="15">+H43</f>
        <v>0</v>
      </c>
      <c r="K43" s="51">
        <f t="shared" si="15"/>
        <v>0</v>
      </c>
      <c r="L43" s="51">
        <f t="shared" si="15"/>
        <v>0</v>
      </c>
      <c r="M43" s="51">
        <f t="shared" si="15"/>
        <v>0</v>
      </c>
      <c r="N43" s="51">
        <f t="shared" si="15"/>
        <v>0</v>
      </c>
      <c r="O43" s="51">
        <f t="shared" si="15"/>
        <v>0</v>
      </c>
      <c r="P43" s="51">
        <f t="shared" si="15"/>
        <v>0</v>
      </c>
      <c r="Q43" s="51">
        <f t="shared" si="15"/>
        <v>0</v>
      </c>
      <c r="R43" s="51">
        <f t="shared" si="15"/>
        <v>0</v>
      </c>
      <c r="S43" s="52">
        <f t="shared" si="15"/>
        <v>0</v>
      </c>
      <c r="T43" s="53">
        <f t="shared" si="6"/>
        <v>0</v>
      </c>
      <c r="U43" s="33">
        <f t="shared" si="7"/>
        <v>0</v>
      </c>
      <c r="V43" s="53">
        <f t="shared" si="11"/>
        <v>0</v>
      </c>
      <c r="W43" s="53">
        <f t="shared" si="11"/>
        <v>0</v>
      </c>
      <c r="X43" s="53">
        <f t="shared" si="11"/>
        <v>0</v>
      </c>
      <c r="Y43" s="53">
        <f t="shared" si="12"/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5">
      <c r="A44" s="77"/>
      <c r="B44" s="80" t="s">
        <v>109</v>
      </c>
      <c r="C44" s="73">
        <f>0.1*C2*C5*4</f>
        <v>951.75965665236049</v>
      </c>
      <c r="D44" s="46" t="s">
        <v>39</v>
      </c>
      <c r="E44" s="148">
        <v>1500</v>
      </c>
      <c r="F44" s="52">
        <f t="shared" si="8"/>
        <v>1427639.4849785408</v>
      </c>
      <c r="G44" s="53"/>
      <c r="H44" s="49">
        <f t="shared" si="9"/>
        <v>1427639.4849785408</v>
      </c>
      <c r="I44" s="51">
        <f>+H44</f>
        <v>1427639.4849785408</v>
      </c>
      <c r="J44" s="51">
        <f t="shared" si="15"/>
        <v>1427639.4849785408</v>
      </c>
      <c r="K44" s="51">
        <f t="shared" si="15"/>
        <v>1427639.4849785408</v>
      </c>
      <c r="L44" s="51">
        <f t="shared" si="15"/>
        <v>1427639.4849785408</v>
      </c>
      <c r="M44" s="51">
        <f t="shared" si="15"/>
        <v>1427639.4849785408</v>
      </c>
      <c r="N44" s="51">
        <f t="shared" si="15"/>
        <v>1427639.4849785408</v>
      </c>
      <c r="O44" s="51">
        <f t="shared" si="15"/>
        <v>1427639.4849785408</v>
      </c>
      <c r="P44" s="51">
        <f t="shared" si="15"/>
        <v>1427639.4849785408</v>
      </c>
      <c r="Q44" s="51">
        <f t="shared" si="15"/>
        <v>1427639.4849785408</v>
      </c>
      <c r="R44" s="51">
        <f t="shared" si="15"/>
        <v>1427639.4849785408</v>
      </c>
      <c r="S44" s="52">
        <f t="shared" si="15"/>
        <v>1427639.4849785408</v>
      </c>
      <c r="T44" s="53">
        <f t="shared" si="6"/>
        <v>17131673.819742493</v>
      </c>
      <c r="U44" s="33">
        <f t="shared" si="7"/>
        <v>17131673.819742493</v>
      </c>
      <c r="V44" s="53">
        <f t="shared" si="11"/>
        <v>17131673.819742493</v>
      </c>
      <c r="W44" s="53">
        <f t="shared" si="11"/>
        <v>17131673.819742493</v>
      </c>
      <c r="X44" s="53">
        <f t="shared" si="11"/>
        <v>17131673.819742493</v>
      </c>
      <c r="Y44" s="53">
        <f>SUM(T44:X44)</f>
        <v>85658369.098712474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25">
      <c r="A45" s="84"/>
      <c r="B45" s="92" t="s">
        <v>152</v>
      </c>
      <c r="C45" s="28"/>
      <c r="D45" s="28"/>
      <c r="E45" s="28">
        <v>0</v>
      </c>
      <c r="F45" s="29">
        <f t="shared" si="8"/>
        <v>0</v>
      </c>
      <c r="G45" s="33"/>
      <c r="H45" s="27">
        <f t="shared" si="9"/>
        <v>0</v>
      </c>
      <c r="I45" s="28">
        <f>+H45</f>
        <v>0</v>
      </c>
      <c r="J45" s="28">
        <f t="shared" ref="J45:S45" si="16">+I45</f>
        <v>0</v>
      </c>
      <c r="K45" s="28">
        <f t="shared" si="16"/>
        <v>0</v>
      </c>
      <c r="L45" s="28">
        <f t="shared" si="16"/>
        <v>0</v>
      </c>
      <c r="M45" s="28">
        <f t="shared" si="16"/>
        <v>0</v>
      </c>
      <c r="N45" s="28">
        <f t="shared" si="16"/>
        <v>0</v>
      </c>
      <c r="O45" s="28">
        <f t="shared" si="16"/>
        <v>0</v>
      </c>
      <c r="P45" s="28">
        <f t="shared" si="16"/>
        <v>0</v>
      </c>
      <c r="Q45" s="28">
        <f t="shared" si="16"/>
        <v>0</v>
      </c>
      <c r="R45" s="28">
        <f t="shared" si="16"/>
        <v>0</v>
      </c>
      <c r="S45" s="29">
        <f t="shared" si="16"/>
        <v>0</v>
      </c>
      <c r="T45" s="53">
        <f t="shared" si="6"/>
        <v>0</v>
      </c>
      <c r="U45" s="33">
        <f t="shared" si="7"/>
        <v>0</v>
      </c>
      <c r="V45" s="28">
        <f t="shared" si="11"/>
        <v>0</v>
      </c>
      <c r="W45" s="33">
        <f t="shared" si="11"/>
        <v>0</v>
      </c>
      <c r="X45" s="27">
        <f t="shared" si="11"/>
        <v>0</v>
      </c>
      <c r="Y45" s="33">
        <f>SUM(T45:X45)</f>
        <v>0</v>
      </c>
    </row>
    <row r="46" spans="1:40" x14ac:dyDescent="0.25">
      <c r="A46" s="77"/>
      <c r="B46" s="86" t="s">
        <v>142</v>
      </c>
      <c r="C46" s="71"/>
      <c r="D46" s="46"/>
      <c r="E46" s="51"/>
      <c r="F46" s="52"/>
      <c r="G46" s="53"/>
      <c r="H46" s="49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53"/>
      <c r="U46" s="53"/>
      <c r="V46" s="53"/>
      <c r="W46" s="53"/>
      <c r="X46" s="53"/>
      <c r="Y46" s="53">
        <f t="shared" ref="Y46:Y53" si="17">SUM(T46:X46)</f>
        <v>0</v>
      </c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25">
      <c r="A47" s="77"/>
      <c r="B47" s="92" t="s">
        <v>112</v>
      </c>
      <c r="C47" s="133">
        <v>2</v>
      </c>
      <c r="D47" s="46" t="s">
        <v>54</v>
      </c>
      <c r="E47" s="148">
        <v>250000</v>
      </c>
      <c r="F47" s="52">
        <f t="shared" ref="F47:F53" si="18">+E47*C47</f>
        <v>500000</v>
      </c>
      <c r="G47" s="53">
        <f>+F47/5</f>
        <v>100000</v>
      </c>
      <c r="H47" s="49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  <c r="T47" s="53">
        <f t="shared" ref="T47:T52" si="19">G47+SUM(H47:S47)</f>
        <v>100000</v>
      </c>
      <c r="U47" s="33">
        <f t="shared" si="7"/>
        <v>0</v>
      </c>
      <c r="V47" s="53">
        <f t="shared" ref="V47:X53" si="20">+U47</f>
        <v>0</v>
      </c>
      <c r="W47" s="53">
        <f t="shared" si="20"/>
        <v>0</v>
      </c>
      <c r="X47" s="53">
        <f t="shared" si="20"/>
        <v>0</v>
      </c>
      <c r="Y47" s="53">
        <f t="shared" si="17"/>
        <v>100000</v>
      </c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x14ac:dyDescent="0.25">
      <c r="A48" s="77"/>
      <c r="B48" s="92" t="s">
        <v>113</v>
      </c>
      <c r="C48" s="134">
        <v>6</v>
      </c>
      <c r="D48" s="47" t="s">
        <v>54</v>
      </c>
      <c r="E48" s="148">
        <v>120000</v>
      </c>
      <c r="F48" s="52">
        <f t="shared" si="18"/>
        <v>720000</v>
      </c>
      <c r="G48" s="53">
        <f>+F48/5</f>
        <v>144000</v>
      </c>
      <c r="H48" s="49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T48" s="53">
        <f t="shared" si="19"/>
        <v>144000</v>
      </c>
      <c r="U48" s="33">
        <f t="shared" si="7"/>
        <v>0</v>
      </c>
      <c r="V48" s="53">
        <f t="shared" si="20"/>
        <v>0</v>
      </c>
      <c r="W48" s="53">
        <f t="shared" si="20"/>
        <v>0</v>
      </c>
      <c r="X48" s="53">
        <f t="shared" si="20"/>
        <v>0</v>
      </c>
      <c r="Y48" s="53">
        <f t="shared" si="17"/>
        <v>144000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5">
      <c r="A49" s="77"/>
      <c r="B49" s="92" t="s">
        <v>114</v>
      </c>
      <c r="C49" s="134">
        <v>1</v>
      </c>
      <c r="D49" s="47" t="s">
        <v>54</v>
      </c>
      <c r="E49" s="148">
        <v>450000</v>
      </c>
      <c r="F49" s="52">
        <f t="shared" si="18"/>
        <v>450000</v>
      </c>
      <c r="G49" s="53">
        <f>+F49/5</f>
        <v>90000</v>
      </c>
      <c r="H49" s="4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2"/>
      <c r="T49" s="53">
        <f t="shared" si="19"/>
        <v>90000</v>
      </c>
      <c r="U49" s="33">
        <f t="shared" si="7"/>
        <v>0</v>
      </c>
      <c r="V49" s="53">
        <f t="shared" si="20"/>
        <v>0</v>
      </c>
      <c r="W49" s="53">
        <f t="shared" si="20"/>
        <v>0</v>
      </c>
      <c r="X49" s="53">
        <f t="shared" si="20"/>
        <v>0</v>
      </c>
      <c r="Y49" s="53">
        <f t="shared" si="17"/>
        <v>90000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77"/>
      <c r="B50" s="92" t="s">
        <v>115</v>
      </c>
      <c r="C50" s="134">
        <v>1</v>
      </c>
      <c r="D50" s="47" t="s">
        <v>54</v>
      </c>
      <c r="E50" s="148">
        <v>2850000</v>
      </c>
      <c r="F50" s="52">
        <f>+E50*C50</f>
        <v>2850000</v>
      </c>
      <c r="G50" s="53">
        <f>+F50/5</f>
        <v>570000</v>
      </c>
      <c r="H50" s="4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2"/>
      <c r="T50" s="53">
        <f t="shared" si="19"/>
        <v>570000</v>
      </c>
      <c r="U50" s="33">
        <f t="shared" si="7"/>
        <v>0</v>
      </c>
      <c r="V50" s="53">
        <f t="shared" si="20"/>
        <v>0</v>
      </c>
      <c r="W50" s="53">
        <f t="shared" si="20"/>
        <v>0</v>
      </c>
      <c r="X50" s="53">
        <f t="shared" si="20"/>
        <v>0</v>
      </c>
      <c r="Y50" s="53">
        <f t="shared" si="17"/>
        <v>570000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77"/>
      <c r="B51" s="92" t="s">
        <v>116</v>
      </c>
      <c r="C51" s="134">
        <v>2</v>
      </c>
      <c r="D51" s="47" t="s">
        <v>54</v>
      </c>
      <c r="E51" s="148">
        <v>25000</v>
      </c>
      <c r="F51" s="52">
        <f t="shared" si="18"/>
        <v>50000</v>
      </c>
      <c r="G51" s="53"/>
      <c r="H51" s="49">
        <f>+F51</f>
        <v>50000</v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2"/>
      <c r="T51" s="53">
        <f t="shared" si="19"/>
        <v>50000</v>
      </c>
      <c r="U51" s="33">
        <f t="shared" si="7"/>
        <v>50000</v>
      </c>
      <c r="V51" s="53">
        <f t="shared" si="20"/>
        <v>50000</v>
      </c>
      <c r="W51" s="53">
        <f t="shared" si="20"/>
        <v>50000</v>
      </c>
      <c r="X51" s="53">
        <f t="shared" si="20"/>
        <v>50000</v>
      </c>
      <c r="Y51" s="53">
        <f t="shared" si="17"/>
        <v>250000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x14ac:dyDescent="0.25">
      <c r="A52" s="77"/>
      <c r="B52" s="92" t="s">
        <v>117</v>
      </c>
      <c r="C52" s="134">
        <v>1</v>
      </c>
      <c r="D52" s="47" t="s">
        <v>55</v>
      </c>
      <c r="E52" s="148">
        <v>50000</v>
      </c>
      <c r="F52" s="52">
        <f t="shared" si="18"/>
        <v>50000</v>
      </c>
      <c r="G52" s="53"/>
      <c r="H52" s="49">
        <f>+F52</f>
        <v>50000</v>
      </c>
      <c r="I52" s="51">
        <f>+H52</f>
        <v>50000</v>
      </c>
      <c r="J52" s="51">
        <f t="shared" ref="J52:S52" si="21">+I52</f>
        <v>50000</v>
      </c>
      <c r="K52" s="51">
        <f t="shared" si="21"/>
        <v>50000</v>
      </c>
      <c r="L52" s="51">
        <f t="shared" si="21"/>
        <v>50000</v>
      </c>
      <c r="M52" s="51">
        <f t="shared" si="21"/>
        <v>50000</v>
      </c>
      <c r="N52" s="51">
        <f t="shared" si="21"/>
        <v>50000</v>
      </c>
      <c r="O52" s="51">
        <f t="shared" si="21"/>
        <v>50000</v>
      </c>
      <c r="P52" s="51">
        <f t="shared" si="21"/>
        <v>50000</v>
      </c>
      <c r="Q52" s="51">
        <f t="shared" si="21"/>
        <v>50000</v>
      </c>
      <c r="R52" s="51">
        <f t="shared" si="21"/>
        <v>50000</v>
      </c>
      <c r="S52" s="51">
        <f t="shared" si="21"/>
        <v>50000</v>
      </c>
      <c r="T52" s="53">
        <f t="shared" si="19"/>
        <v>600000</v>
      </c>
      <c r="U52" s="33">
        <f t="shared" si="7"/>
        <v>600000</v>
      </c>
      <c r="V52" s="53">
        <f t="shared" si="20"/>
        <v>600000</v>
      </c>
      <c r="W52" s="53">
        <f t="shared" si="20"/>
        <v>600000</v>
      </c>
      <c r="X52" s="53">
        <f t="shared" si="20"/>
        <v>600000</v>
      </c>
      <c r="Y52" s="53">
        <f t="shared" si="17"/>
        <v>3000000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x14ac:dyDescent="0.25">
      <c r="A53" s="77"/>
      <c r="B53" s="92" t="s">
        <v>63</v>
      </c>
      <c r="C53" s="134">
        <v>0</v>
      </c>
      <c r="D53" s="47" t="s">
        <v>52</v>
      </c>
      <c r="E53" s="148">
        <v>0</v>
      </c>
      <c r="F53" s="52">
        <f t="shared" si="18"/>
        <v>0</v>
      </c>
      <c r="G53" s="53"/>
      <c r="H53" s="49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2"/>
      <c r="T53" s="53">
        <f>G53+SUM(H53:S53)</f>
        <v>0</v>
      </c>
      <c r="U53" s="33">
        <f t="shared" si="7"/>
        <v>0</v>
      </c>
      <c r="V53" s="53">
        <f t="shared" si="20"/>
        <v>0</v>
      </c>
      <c r="W53" s="53">
        <f t="shared" si="20"/>
        <v>0</v>
      </c>
      <c r="X53" s="53">
        <f t="shared" si="20"/>
        <v>0</v>
      </c>
      <c r="Y53" s="53">
        <f t="shared" si="17"/>
        <v>0</v>
      </c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84"/>
      <c r="B54" s="86" t="s">
        <v>143</v>
      </c>
      <c r="C54" s="28"/>
      <c r="D54" s="28"/>
      <c r="E54" s="136"/>
      <c r="F54" s="29"/>
      <c r="G54" s="33"/>
      <c r="H54" s="27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9"/>
      <c r="T54" s="27"/>
      <c r="U54" s="33"/>
      <c r="V54" s="28"/>
      <c r="W54" s="33"/>
      <c r="X54" s="27"/>
      <c r="Y54" s="33"/>
    </row>
    <row r="55" spans="1:40" x14ac:dyDescent="0.25">
      <c r="A55" s="84"/>
      <c r="B55" s="92" t="s">
        <v>138</v>
      </c>
      <c r="C55" s="28">
        <v>1</v>
      </c>
      <c r="D55" s="28" t="s">
        <v>40</v>
      </c>
      <c r="E55" s="28">
        <f>0.2*C4/12*C3</f>
        <v>26617500</v>
      </c>
      <c r="F55" s="29">
        <f>+E55*C55</f>
        <v>26617500</v>
      </c>
      <c r="G55" s="33"/>
      <c r="H55" s="27">
        <f>+F55</f>
        <v>26617500</v>
      </c>
      <c r="I55" s="28">
        <f t="shared" ref="I55:S55" si="22">+H55</f>
        <v>26617500</v>
      </c>
      <c r="J55" s="28">
        <f t="shared" si="22"/>
        <v>26617500</v>
      </c>
      <c r="K55" s="28">
        <f t="shared" si="22"/>
        <v>26617500</v>
      </c>
      <c r="L55" s="28">
        <f t="shared" si="22"/>
        <v>26617500</v>
      </c>
      <c r="M55" s="28">
        <f t="shared" si="22"/>
        <v>26617500</v>
      </c>
      <c r="N55" s="28">
        <f t="shared" si="22"/>
        <v>26617500</v>
      </c>
      <c r="O55" s="28">
        <f t="shared" si="22"/>
        <v>26617500</v>
      </c>
      <c r="P55" s="28">
        <f t="shared" si="22"/>
        <v>26617500</v>
      </c>
      <c r="Q55" s="28">
        <f t="shared" si="22"/>
        <v>26617500</v>
      </c>
      <c r="R55" s="28">
        <f t="shared" si="22"/>
        <v>26617500</v>
      </c>
      <c r="S55" s="29">
        <f t="shared" si="22"/>
        <v>26617500</v>
      </c>
      <c r="T55" s="53">
        <f>G55+SUM(H55:S55)</f>
        <v>319410000</v>
      </c>
      <c r="U55" s="33">
        <f t="shared" si="7"/>
        <v>319410000</v>
      </c>
      <c r="V55" s="28">
        <f>+U55</f>
        <v>319410000</v>
      </c>
      <c r="W55" s="33">
        <f>+V55</f>
        <v>319410000</v>
      </c>
      <c r="X55" s="27">
        <f>+W55</f>
        <v>319410000</v>
      </c>
      <c r="Y55" s="33">
        <f>SUM(T55:X55)</f>
        <v>1597050000</v>
      </c>
    </row>
    <row r="56" spans="1:40" x14ac:dyDescent="0.25">
      <c r="A56" s="84"/>
      <c r="B56" s="86" t="s">
        <v>144</v>
      </c>
      <c r="C56" s="28"/>
      <c r="D56" s="28"/>
      <c r="E56" s="28"/>
      <c r="F56" s="29"/>
      <c r="G56" s="33"/>
      <c r="H56" s="2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27"/>
      <c r="U56" s="33">
        <f t="shared" si="7"/>
        <v>0</v>
      </c>
      <c r="V56" s="28"/>
      <c r="W56" s="33"/>
      <c r="X56" s="27"/>
      <c r="Y56" s="33"/>
    </row>
    <row r="57" spans="1:40" x14ac:dyDescent="0.25">
      <c r="A57" s="84"/>
      <c r="B57" s="92" t="s">
        <v>139</v>
      </c>
      <c r="C57" s="28">
        <v>1</v>
      </c>
      <c r="D57" s="28" t="s">
        <v>40</v>
      </c>
      <c r="E57" s="28">
        <f>C4*0.17/2/12*C3</f>
        <v>11312437.5</v>
      </c>
      <c r="F57" s="29">
        <f>+E57*C57</f>
        <v>11312437.5</v>
      </c>
      <c r="G57" s="33"/>
      <c r="H57" s="27">
        <f>+F57</f>
        <v>11312437.5</v>
      </c>
      <c r="I57" s="28">
        <f t="shared" ref="I57:S57" si="23">+H57</f>
        <v>11312437.5</v>
      </c>
      <c r="J57" s="28">
        <f t="shared" si="23"/>
        <v>11312437.5</v>
      </c>
      <c r="K57" s="28">
        <f t="shared" si="23"/>
        <v>11312437.5</v>
      </c>
      <c r="L57" s="28">
        <f t="shared" si="23"/>
        <v>11312437.5</v>
      </c>
      <c r="M57" s="28">
        <f t="shared" si="23"/>
        <v>11312437.5</v>
      </c>
      <c r="N57" s="28">
        <f t="shared" si="23"/>
        <v>11312437.5</v>
      </c>
      <c r="O57" s="28">
        <f t="shared" si="23"/>
        <v>11312437.5</v>
      </c>
      <c r="P57" s="28">
        <f t="shared" si="23"/>
        <v>11312437.5</v>
      </c>
      <c r="Q57" s="28">
        <f t="shared" si="23"/>
        <v>11312437.5</v>
      </c>
      <c r="R57" s="28">
        <f t="shared" si="23"/>
        <v>11312437.5</v>
      </c>
      <c r="S57" s="29">
        <f t="shared" si="23"/>
        <v>11312437.5</v>
      </c>
      <c r="T57" s="53">
        <f>G57+SUM(H57:S57)</f>
        <v>135749250</v>
      </c>
      <c r="U57" s="33">
        <f t="shared" si="7"/>
        <v>135749250</v>
      </c>
      <c r="V57" s="28">
        <v>0</v>
      </c>
      <c r="W57" s="33">
        <v>0</v>
      </c>
      <c r="X57" s="27">
        <v>0</v>
      </c>
      <c r="Y57" s="33">
        <f>SUM(T57:X57)</f>
        <v>271498500</v>
      </c>
    </row>
    <row r="58" spans="1:40" x14ac:dyDescent="0.25">
      <c r="A58" s="84"/>
      <c r="B58" s="86" t="s">
        <v>145</v>
      </c>
      <c r="C58" s="28"/>
      <c r="D58" s="28"/>
      <c r="E58" s="28"/>
      <c r="F58" s="29"/>
      <c r="G58" s="33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9"/>
      <c r="T58" s="27"/>
      <c r="U58" s="33"/>
      <c r="V58" s="28"/>
      <c r="W58" s="33"/>
      <c r="X58" s="27"/>
      <c r="Y58" s="33"/>
    </row>
    <row r="59" spans="1:40" x14ac:dyDescent="0.25">
      <c r="A59" s="77"/>
      <c r="B59" s="93" t="s">
        <v>118</v>
      </c>
      <c r="C59" s="64">
        <v>0</v>
      </c>
      <c r="D59" s="63" t="s">
        <v>40</v>
      </c>
      <c r="E59" s="64">
        <f>SUM(E60:E66)</f>
        <v>4471222.666666666</v>
      </c>
      <c r="F59" s="65">
        <f>+E59*C59</f>
        <v>0</v>
      </c>
      <c r="G59" s="53"/>
      <c r="H59" s="50">
        <f>+F59</f>
        <v>0</v>
      </c>
      <c r="I59" s="55">
        <f t="shared" ref="I59:S59" si="24">+H59</f>
        <v>0</v>
      </c>
      <c r="J59" s="55">
        <f t="shared" si="24"/>
        <v>0</v>
      </c>
      <c r="K59" s="55">
        <f t="shared" si="24"/>
        <v>0</v>
      </c>
      <c r="L59" s="55">
        <f t="shared" si="24"/>
        <v>0</v>
      </c>
      <c r="M59" s="55">
        <f t="shared" si="24"/>
        <v>0</v>
      </c>
      <c r="N59" s="55">
        <f t="shared" si="24"/>
        <v>0</v>
      </c>
      <c r="O59" s="55">
        <f t="shared" si="24"/>
        <v>0</v>
      </c>
      <c r="P59" s="55">
        <f t="shared" si="24"/>
        <v>0</v>
      </c>
      <c r="Q59" s="55">
        <f t="shared" si="24"/>
        <v>0</v>
      </c>
      <c r="R59" s="55">
        <f t="shared" si="24"/>
        <v>0</v>
      </c>
      <c r="S59" s="56">
        <f t="shared" si="24"/>
        <v>0</v>
      </c>
      <c r="T59" s="50">
        <f>SUM(G59:S59)</f>
        <v>0</v>
      </c>
      <c r="U59" s="33">
        <f t="shared" si="7"/>
        <v>0</v>
      </c>
      <c r="V59" s="55">
        <f>+U59</f>
        <v>0</v>
      </c>
      <c r="W59" s="57">
        <f>+V59</f>
        <v>0</v>
      </c>
      <c r="X59" s="50">
        <f>+W59</f>
        <v>0</v>
      </c>
      <c r="Y59" s="57">
        <f>SUM(T59:X59)</f>
        <v>0</v>
      </c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x14ac:dyDescent="0.25">
      <c r="A60" s="84"/>
      <c r="B60" s="94" t="s">
        <v>126</v>
      </c>
      <c r="C60" s="55">
        <v>1</v>
      </c>
      <c r="D60" s="48" t="s">
        <v>40</v>
      </c>
      <c r="E60" s="148">
        <v>3500000</v>
      </c>
      <c r="F60" s="52"/>
      <c r="G60" s="57"/>
      <c r="H60" s="50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/>
      <c r="T60" s="50"/>
      <c r="U60" s="57"/>
      <c r="V60" s="55"/>
      <c r="W60" s="57"/>
      <c r="X60" s="50"/>
      <c r="Y60" s="57"/>
    </row>
    <row r="61" spans="1:40" x14ac:dyDescent="0.25">
      <c r="A61" s="84"/>
      <c r="B61" s="94" t="s">
        <v>127</v>
      </c>
      <c r="C61" s="55">
        <v>1</v>
      </c>
      <c r="D61" s="48" t="s">
        <v>40</v>
      </c>
      <c r="E61" s="148">
        <f>+E60/12</f>
        <v>291666.66666666669</v>
      </c>
      <c r="F61" s="52"/>
      <c r="G61" s="57"/>
      <c r="H61" s="50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6"/>
      <c r="T61" s="50"/>
      <c r="U61" s="57"/>
      <c r="V61" s="55"/>
      <c r="W61" s="57"/>
      <c r="X61" s="50"/>
      <c r="Y61" s="57"/>
    </row>
    <row r="62" spans="1:40" x14ac:dyDescent="0.25">
      <c r="A62" s="84"/>
      <c r="B62" s="94" t="s">
        <v>134</v>
      </c>
      <c r="C62" s="55">
        <v>1</v>
      </c>
      <c r="D62" s="48" t="s">
        <v>40</v>
      </c>
      <c r="E62" s="148">
        <v>102056</v>
      </c>
      <c r="F62" s="56"/>
      <c r="G62" s="57"/>
      <c r="H62" s="50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6"/>
      <c r="T62" s="50"/>
      <c r="U62" s="57"/>
      <c r="V62" s="55"/>
      <c r="W62" s="57"/>
      <c r="X62" s="50"/>
      <c r="Y62" s="57"/>
    </row>
    <row r="63" spans="1:40" x14ac:dyDescent="0.25">
      <c r="A63" s="84"/>
      <c r="B63" s="94" t="s">
        <v>130</v>
      </c>
      <c r="C63" s="55">
        <v>1</v>
      </c>
      <c r="D63" s="48" t="s">
        <v>40</v>
      </c>
      <c r="E63" s="148">
        <v>0</v>
      </c>
      <c r="F63" s="56"/>
      <c r="G63" s="57"/>
      <c r="H63" s="50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6"/>
      <c r="T63" s="50"/>
      <c r="U63" s="57"/>
      <c r="V63" s="55"/>
      <c r="W63" s="57"/>
      <c r="X63" s="50"/>
      <c r="Y63" s="57"/>
    </row>
    <row r="64" spans="1:40" x14ac:dyDescent="0.25">
      <c r="A64" s="84"/>
      <c r="B64" s="94" t="s">
        <v>131</v>
      </c>
      <c r="C64" s="55">
        <v>1</v>
      </c>
      <c r="D64" s="48" t="s">
        <v>40</v>
      </c>
      <c r="E64" s="148">
        <v>0</v>
      </c>
      <c r="F64" s="56"/>
      <c r="G64" s="57"/>
      <c r="H64" s="50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6"/>
      <c r="T64" s="50"/>
      <c r="U64" s="57"/>
      <c r="V64" s="55"/>
      <c r="W64" s="57"/>
      <c r="X64" s="50"/>
      <c r="Y64" s="57"/>
    </row>
    <row r="65" spans="1:40" x14ac:dyDescent="0.25">
      <c r="A65" s="84"/>
      <c r="B65" s="94" t="s">
        <v>132</v>
      </c>
      <c r="C65" s="55">
        <v>1</v>
      </c>
      <c r="D65" s="48" t="s">
        <v>40</v>
      </c>
      <c r="E65" s="148">
        <v>0</v>
      </c>
      <c r="F65" s="56"/>
      <c r="G65" s="57"/>
      <c r="H65" s="50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6"/>
      <c r="T65" s="50"/>
      <c r="U65" s="57"/>
      <c r="V65" s="55"/>
      <c r="W65" s="57"/>
      <c r="X65" s="50"/>
      <c r="Y65" s="57"/>
    </row>
    <row r="66" spans="1:40" x14ac:dyDescent="0.25">
      <c r="A66" s="84"/>
      <c r="B66" s="94" t="s">
        <v>128</v>
      </c>
      <c r="C66" s="55">
        <v>1</v>
      </c>
      <c r="D66" s="48" t="s">
        <v>40</v>
      </c>
      <c r="E66" s="51">
        <f>0.165*E60</f>
        <v>577500</v>
      </c>
      <c r="F66" s="56"/>
      <c r="G66" s="57"/>
      <c r="H66" s="50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6"/>
      <c r="T66" s="50"/>
      <c r="U66" s="57"/>
      <c r="V66" s="55"/>
      <c r="W66" s="57"/>
      <c r="X66" s="50"/>
      <c r="Y66" s="57"/>
    </row>
    <row r="67" spans="1:40" x14ac:dyDescent="0.25">
      <c r="A67" s="77"/>
      <c r="B67" s="93" t="s">
        <v>129</v>
      </c>
      <c r="C67" s="75">
        <v>0.5</v>
      </c>
      <c r="D67" s="63" t="s">
        <v>40</v>
      </c>
      <c r="E67" s="64">
        <f>SUM(E68:E74)</f>
        <v>3222889.3333333335</v>
      </c>
      <c r="F67" s="65">
        <f>+E67*C67</f>
        <v>1611444.6666666667</v>
      </c>
      <c r="G67" s="53"/>
      <c r="H67" s="50">
        <f>+F67</f>
        <v>1611444.6666666667</v>
      </c>
      <c r="I67" s="55">
        <f t="shared" ref="I67:S67" si="25">+H67</f>
        <v>1611444.6666666667</v>
      </c>
      <c r="J67" s="55">
        <f t="shared" si="25"/>
        <v>1611444.6666666667</v>
      </c>
      <c r="K67" s="55">
        <f t="shared" si="25"/>
        <v>1611444.6666666667</v>
      </c>
      <c r="L67" s="55">
        <f t="shared" si="25"/>
        <v>1611444.6666666667</v>
      </c>
      <c r="M67" s="55">
        <f t="shared" si="25"/>
        <v>1611444.6666666667</v>
      </c>
      <c r="N67" s="55">
        <f t="shared" si="25"/>
        <v>1611444.6666666667</v>
      </c>
      <c r="O67" s="55">
        <f t="shared" si="25"/>
        <v>1611444.6666666667</v>
      </c>
      <c r="P67" s="55">
        <f t="shared" si="25"/>
        <v>1611444.6666666667</v>
      </c>
      <c r="Q67" s="55">
        <f t="shared" si="25"/>
        <v>1611444.6666666667</v>
      </c>
      <c r="R67" s="55">
        <f t="shared" si="25"/>
        <v>1611444.6666666667</v>
      </c>
      <c r="S67" s="56">
        <f t="shared" si="25"/>
        <v>1611444.6666666667</v>
      </c>
      <c r="T67" s="53">
        <f>G67+SUM(H67:S67)</f>
        <v>19337336</v>
      </c>
      <c r="U67" s="33">
        <f>+SUM(H67:S67)</f>
        <v>19337336</v>
      </c>
      <c r="V67" s="55">
        <f>+U67</f>
        <v>19337336</v>
      </c>
      <c r="W67" s="57">
        <f>+V67</f>
        <v>19337336</v>
      </c>
      <c r="X67" s="50">
        <f>+W67</f>
        <v>19337336</v>
      </c>
      <c r="Y67" s="57">
        <f>SUM(T67:X67)</f>
        <v>96686680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5">
      <c r="A68" s="84"/>
      <c r="B68" s="94" t="s">
        <v>126</v>
      </c>
      <c r="C68" s="55">
        <v>1</v>
      </c>
      <c r="D68" s="48" t="s">
        <v>40</v>
      </c>
      <c r="E68" s="137">
        <v>2500000</v>
      </c>
      <c r="F68" s="52"/>
      <c r="G68" s="57"/>
      <c r="H68" s="50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6"/>
      <c r="T68" s="50"/>
      <c r="U68" s="57"/>
      <c r="V68" s="55"/>
      <c r="W68" s="57"/>
      <c r="X68" s="50"/>
      <c r="Y68" s="57"/>
    </row>
    <row r="69" spans="1:40" x14ac:dyDescent="0.25">
      <c r="A69" s="84"/>
      <c r="B69" s="94" t="s">
        <v>127</v>
      </c>
      <c r="C69" s="55">
        <v>1</v>
      </c>
      <c r="D69" s="48" t="s">
        <v>40</v>
      </c>
      <c r="E69" s="51">
        <f>+E68/12</f>
        <v>208333.33333333334</v>
      </c>
      <c r="F69" s="52"/>
      <c r="G69" s="57"/>
      <c r="H69" s="50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6"/>
      <c r="T69" s="50"/>
      <c r="U69" s="57"/>
      <c r="V69" s="55"/>
      <c r="W69" s="57"/>
      <c r="X69" s="50"/>
      <c r="Y69" s="57"/>
    </row>
    <row r="70" spans="1:40" x14ac:dyDescent="0.25">
      <c r="A70" s="84"/>
      <c r="B70" s="94" t="s">
        <v>134</v>
      </c>
      <c r="C70" s="55">
        <v>1</v>
      </c>
      <c r="D70" s="48" t="s">
        <v>40</v>
      </c>
      <c r="E70" s="148">
        <v>102056</v>
      </c>
      <c r="F70" s="56"/>
      <c r="G70" s="57"/>
      <c r="H70" s="50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6"/>
      <c r="T70" s="50"/>
      <c r="U70" s="57"/>
      <c r="V70" s="55"/>
      <c r="W70" s="57"/>
      <c r="X70" s="50"/>
      <c r="Y70" s="57"/>
    </row>
    <row r="71" spans="1:40" x14ac:dyDescent="0.25">
      <c r="A71" s="84"/>
      <c r="B71" s="94" t="s">
        <v>130</v>
      </c>
      <c r="C71" s="55">
        <v>1</v>
      </c>
      <c r="D71" s="48" t="s">
        <v>40</v>
      </c>
      <c r="E71" s="148">
        <v>0</v>
      </c>
      <c r="F71" s="56"/>
      <c r="G71" s="57"/>
      <c r="H71" s="50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6"/>
      <c r="T71" s="50"/>
      <c r="U71" s="57"/>
      <c r="V71" s="55"/>
      <c r="W71" s="57"/>
      <c r="X71" s="50"/>
      <c r="Y71" s="57"/>
    </row>
    <row r="72" spans="1:40" x14ac:dyDescent="0.25">
      <c r="A72" s="84"/>
      <c r="B72" s="94" t="s">
        <v>131</v>
      </c>
      <c r="C72" s="55">
        <v>1</v>
      </c>
      <c r="D72" s="48" t="s">
        <v>40</v>
      </c>
      <c r="E72" s="148">
        <v>0</v>
      </c>
      <c r="F72" s="56"/>
      <c r="G72" s="57"/>
      <c r="H72" s="50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6"/>
      <c r="T72" s="50"/>
      <c r="U72" s="57"/>
      <c r="V72" s="55"/>
      <c r="W72" s="57"/>
      <c r="X72" s="50"/>
      <c r="Y72" s="57"/>
    </row>
    <row r="73" spans="1:40" x14ac:dyDescent="0.25">
      <c r="A73" s="84"/>
      <c r="B73" s="94" t="s">
        <v>132</v>
      </c>
      <c r="C73" s="55">
        <v>1</v>
      </c>
      <c r="D73" s="48" t="s">
        <v>40</v>
      </c>
      <c r="E73" s="148">
        <v>0</v>
      </c>
      <c r="F73" s="56"/>
      <c r="G73" s="57"/>
      <c r="H73" s="50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/>
      <c r="T73" s="50"/>
      <c r="U73" s="57"/>
      <c r="V73" s="55"/>
      <c r="W73" s="57"/>
      <c r="X73" s="50"/>
      <c r="Y73" s="57"/>
    </row>
    <row r="74" spans="1:40" x14ac:dyDescent="0.25">
      <c r="A74" s="84"/>
      <c r="B74" s="94" t="s">
        <v>128</v>
      </c>
      <c r="C74" s="55">
        <v>1</v>
      </c>
      <c r="D74" s="48" t="s">
        <v>40</v>
      </c>
      <c r="E74" s="51">
        <f>0.165*E68</f>
        <v>412500</v>
      </c>
      <c r="F74" s="52"/>
      <c r="G74" s="57"/>
      <c r="H74" s="50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6"/>
      <c r="T74" s="50"/>
      <c r="U74" s="57"/>
      <c r="V74" s="55"/>
      <c r="W74" s="57"/>
      <c r="X74" s="50"/>
      <c r="Y74" s="57"/>
    </row>
    <row r="75" spans="1:40" x14ac:dyDescent="0.25">
      <c r="A75" s="77"/>
      <c r="B75" s="93" t="s">
        <v>125</v>
      </c>
      <c r="C75" s="64">
        <v>0</v>
      </c>
      <c r="D75" s="63" t="s">
        <v>40</v>
      </c>
      <c r="E75" s="64">
        <f>SUM(E76:E82)</f>
        <v>2650057.8783333334</v>
      </c>
      <c r="F75" s="65">
        <f>+E75*C75</f>
        <v>0</v>
      </c>
      <c r="G75" s="53"/>
      <c r="H75" s="50">
        <f>+F75</f>
        <v>0</v>
      </c>
      <c r="I75" s="55">
        <f t="shared" ref="I75:S75" si="26">+H75</f>
        <v>0</v>
      </c>
      <c r="J75" s="55">
        <f t="shared" si="26"/>
        <v>0</v>
      </c>
      <c r="K75" s="55">
        <f t="shared" si="26"/>
        <v>0</v>
      </c>
      <c r="L75" s="55">
        <f t="shared" si="26"/>
        <v>0</v>
      </c>
      <c r="M75" s="55">
        <f t="shared" si="26"/>
        <v>0</v>
      </c>
      <c r="N75" s="55">
        <f t="shared" si="26"/>
        <v>0</v>
      </c>
      <c r="O75" s="55">
        <f t="shared" si="26"/>
        <v>0</v>
      </c>
      <c r="P75" s="55">
        <f t="shared" si="26"/>
        <v>0</v>
      </c>
      <c r="Q75" s="55">
        <f t="shared" si="26"/>
        <v>0</v>
      </c>
      <c r="R75" s="55">
        <f t="shared" si="26"/>
        <v>0</v>
      </c>
      <c r="S75" s="56">
        <f t="shared" si="26"/>
        <v>0</v>
      </c>
      <c r="T75" s="53">
        <f>G75+SUM(H75:S75)</f>
        <v>0</v>
      </c>
      <c r="U75" s="33">
        <f>+SUM(H75:S75)</f>
        <v>0</v>
      </c>
      <c r="V75" s="55">
        <f>+U75</f>
        <v>0</v>
      </c>
      <c r="W75" s="57">
        <f>+V75</f>
        <v>0</v>
      </c>
      <c r="X75" s="50">
        <f>+W75</f>
        <v>0</v>
      </c>
      <c r="Y75" s="57">
        <f>SUM(T75:X75)</f>
        <v>0</v>
      </c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84"/>
      <c r="B76" s="94" t="s">
        <v>126</v>
      </c>
      <c r="C76" s="55">
        <v>1</v>
      </c>
      <c r="D76" s="48" t="s">
        <v>40</v>
      </c>
      <c r="E76" s="127">
        <v>2041123</v>
      </c>
      <c r="F76" s="52"/>
      <c r="G76" s="57"/>
      <c r="H76" s="50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6"/>
      <c r="T76" s="50"/>
      <c r="U76" s="57"/>
      <c r="V76" s="55"/>
      <c r="W76" s="57"/>
      <c r="X76" s="50"/>
      <c r="Y76" s="57"/>
    </row>
    <row r="77" spans="1:40" x14ac:dyDescent="0.25">
      <c r="A77" s="84"/>
      <c r="B77" s="94" t="s">
        <v>127</v>
      </c>
      <c r="C77" s="55">
        <v>1</v>
      </c>
      <c r="D77" s="48" t="s">
        <v>40</v>
      </c>
      <c r="E77" s="51">
        <f>+E76/12</f>
        <v>170093.58333333334</v>
      </c>
      <c r="F77" s="52"/>
      <c r="G77" s="57"/>
      <c r="H77" s="50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6"/>
      <c r="T77" s="50"/>
      <c r="U77" s="57"/>
      <c r="V77" s="55"/>
      <c r="W77" s="57"/>
      <c r="X77" s="50"/>
      <c r="Y77" s="57"/>
    </row>
    <row r="78" spans="1:40" x14ac:dyDescent="0.25">
      <c r="A78" s="84"/>
      <c r="B78" s="94" t="s">
        <v>134</v>
      </c>
      <c r="C78" s="55">
        <v>1</v>
      </c>
      <c r="D78" s="48" t="s">
        <v>40</v>
      </c>
      <c r="E78" s="148">
        <v>102056</v>
      </c>
      <c r="F78" s="56"/>
      <c r="G78" s="57"/>
      <c r="H78" s="50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6"/>
      <c r="T78" s="50"/>
      <c r="U78" s="57"/>
      <c r="V78" s="55"/>
      <c r="W78" s="57"/>
      <c r="X78" s="50"/>
      <c r="Y78" s="57"/>
    </row>
    <row r="79" spans="1:40" x14ac:dyDescent="0.25">
      <c r="A79" s="84"/>
      <c r="B79" s="94" t="s">
        <v>130</v>
      </c>
      <c r="C79" s="55">
        <v>1</v>
      </c>
      <c r="D79" s="48" t="s">
        <v>40</v>
      </c>
      <c r="E79" s="148">
        <v>0</v>
      </c>
      <c r="F79" s="56"/>
      <c r="G79" s="57"/>
      <c r="H79" s="50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6"/>
      <c r="T79" s="50"/>
      <c r="U79" s="57"/>
      <c r="V79" s="55"/>
      <c r="W79" s="57"/>
      <c r="X79" s="50"/>
      <c r="Y79" s="57"/>
    </row>
    <row r="80" spans="1:40" x14ac:dyDescent="0.25">
      <c r="A80" s="84"/>
      <c r="B80" s="94" t="s">
        <v>131</v>
      </c>
      <c r="C80" s="55">
        <v>1</v>
      </c>
      <c r="D80" s="48" t="s">
        <v>40</v>
      </c>
      <c r="E80" s="148">
        <v>0</v>
      </c>
      <c r="F80" s="56"/>
      <c r="G80" s="57"/>
      <c r="H80" s="50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6"/>
      <c r="T80" s="50"/>
      <c r="U80" s="57"/>
      <c r="V80" s="55"/>
      <c r="W80" s="57"/>
      <c r="X80" s="50"/>
      <c r="Y80" s="57"/>
    </row>
    <row r="81" spans="1:40" x14ac:dyDescent="0.25">
      <c r="A81" s="84"/>
      <c r="B81" s="94" t="s">
        <v>132</v>
      </c>
      <c r="C81" s="55">
        <v>1</v>
      </c>
      <c r="D81" s="48" t="s">
        <v>40</v>
      </c>
      <c r="E81" s="148">
        <v>0</v>
      </c>
      <c r="F81" s="56"/>
      <c r="G81" s="57"/>
      <c r="H81" s="50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6"/>
      <c r="T81" s="50"/>
      <c r="U81" s="57"/>
      <c r="V81" s="55"/>
      <c r="W81" s="57"/>
      <c r="X81" s="50"/>
      <c r="Y81" s="57"/>
    </row>
    <row r="82" spans="1:40" x14ac:dyDescent="0.25">
      <c r="A82" s="84"/>
      <c r="B82" s="94" t="s">
        <v>128</v>
      </c>
      <c r="C82" s="55">
        <v>1</v>
      </c>
      <c r="D82" s="48" t="s">
        <v>40</v>
      </c>
      <c r="E82" s="51">
        <f>0.165*E76</f>
        <v>336785.29500000004</v>
      </c>
      <c r="F82" s="52"/>
      <c r="G82" s="57"/>
      <c r="H82" s="50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  <c r="T82" s="50"/>
      <c r="U82" s="57"/>
      <c r="V82" s="55"/>
      <c r="W82" s="57"/>
      <c r="X82" s="50"/>
      <c r="Y82" s="57"/>
    </row>
    <row r="83" spans="1:40" x14ac:dyDescent="0.25">
      <c r="A83" s="77"/>
      <c r="B83" s="93" t="s">
        <v>306</v>
      </c>
      <c r="C83" s="64">
        <f>+C10</f>
        <v>3</v>
      </c>
      <c r="D83" s="63" t="s">
        <v>40</v>
      </c>
      <c r="E83" s="64">
        <f>SUM(E84:E90)</f>
        <v>2973222.6666666665</v>
      </c>
      <c r="F83" s="65">
        <f>+E83*C83</f>
        <v>8919668</v>
      </c>
      <c r="G83" s="53"/>
      <c r="H83" s="50">
        <f>+F83</f>
        <v>8919668</v>
      </c>
      <c r="I83" s="55">
        <f t="shared" ref="I83:S83" si="27">+H83</f>
        <v>8919668</v>
      </c>
      <c r="J83" s="55">
        <f t="shared" si="27"/>
        <v>8919668</v>
      </c>
      <c r="K83" s="55">
        <f t="shared" si="27"/>
        <v>8919668</v>
      </c>
      <c r="L83" s="55">
        <f t="shared" si="27"/>
        <v>8919668</v>
      </c>
      <c r="M83" s="55">
        <f t="shared" si="27"/>
        <v>8919668</v>
      </c>
      <c r="N83" s="55">
        <f t="shared" si="27"/>
        <v>8919668</v>
      </c>
      <c r="O83" s="55">
        <f t="shared" si="27"/>
        <v>8919668</v>
      </c>
      <c r="P83" s="55">
        <f t="shared" si="27"/>
        <v>8919668</v>
      </c>
      <c r="Q83" s="55">
        <f t="shared" si="27"/>
        <v>8919668</v>
      </c>
      <c r="R83" s="55">
        <f t="shared" si="27"/>
        <v>8919668</v>
      </c>
      <c r="S83" s="56">
        <f t="shared" si="27"/>
        <v>8919668</v>
      </c>
      <c r="T83" s="53">
        <f>G83+SUM(H83:S83)</f>
        <v>107036016</v>
      </c>
      <c r="U83" s="33">
        <f>+SUM(H83:S83)</f>
        <v>107036016</v>
      </c>
      <c r="V83" s="55">
        <f>+U83</f>
        <v>107036016</v>
      </c>
      <c r="W83" s="57">
        <f>+V83</f>
        <v>107036016</v>
      </c>
      <c r="X83" s="50">
        <f>+W83</f>
        <v>107036016</v>
      </c>
      <c r="Y83" s="57">
        <f>SUM(T83:X83)</f>
        <v>535180080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25">
      <c r="A84" s="84"/>
      <c r="B84" s="94" t="s">
        <v>126</v>
      </c>
      <c r="C84" s="55">
        <v>1</v>
      </c>
      <c r="D84" s="48" t="s">
        <v>40</v>
      </c>
      <c r="E84" s="127">
        <v>2300000</v>
      </c>
      <c r="F84" s="52"/>
      <c r="G84" s="57"/>
      <c r="H84" s="50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6"/>
      <c r="T84" s="50"/>
      <c r="U84" s="57"/>
      <c r="V84" s="55"/>
      <c r="W84" s="57"/>
      <c r="X84" s="50"/>
      <c r="Y84" s="57"/>
    </row>
    <row r="85" spans="1:40" x14ac:dyDescent="0.25">
      <c r="A85" s="84"/>
      <c r="B85" s="94" t="s">
        <v>127</v>
      </c>
      <c r="C85" s="55">
        <v>1</v>
      </c>
      <c r="D85" s="48" t="s">
        <v>40</v>
      </c>
      <c r="E85" s="51">
        <f>+E84/12</f>
        <v>191666.66666666666</v>
      </c>
      <c r="F85" s="52"/>
      <c r="G85" s="57"/>
      <c r="H85" s="50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6"/>
      <c r="T85" s="50"/>
      <c r="U85" s="57"/>
      <c r="V85" s="55"/>
      <c r="W85" s="57"/>
      <c r="X85" s="50"/>
      <c r="Y85" s="57"/>
    </row>
    <row r="86" spans="1:40" x14ac:dyDescent="0.25">
      <c r="A86" s="84"/>
      <c r="B86" s="94" t="s">
        <v>134</v>
      </c>
      <c r="C86" s="55">
        <v>1</v>
      </c>
      <c r="D86" s="48" t="s">
        <v>40</v>
      </c>
      <c r="E86" s="148">
        <v>102056</v>
      </c>
      <c r="F86" s="56"/>
      <c r="G86" s="57"/>
      <c r="H86" s="50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6"/>
      <c r="T86" s="50"/>
      <c r="U86" s="57"/>
      <c r="V86" s="55"/>
      <c r="W86" s="57"/>
      <c r="X86" s="50"/>
      <c r="Y86" s="57"/>
    </row>
    <row r="87" spans="1:40" x14ac:dyDescent="0.25">
      <c r="A87" s="84"/>
      <c r="B87" s="94" t="s">
        <v>130</v>
      </c>
      <c r="C87" s="55">
        <v>1</v>
      </c>
      <c r="D87" s="48" t="s">
        <v>40</v>
      </c>
      <c r="E87" s="148">
        <v>0</v>
      </c>
      <c r="F87" s="56"/>
      <c r="G87" s="57"/>
      <c r="H87" s="50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6"/>
      <c r="T87" s="50"/>
      <c r="U87" s="57"/>
      <c r="V87" s="55"/>
      <c r="W87" s="57"/>
      <c r="X87" s="50"/>
      <c r="Y87" s="57"/>
    </row>
    <row r="88" spans="1:40" x14ac:dyDescent="0.25">
      <c r="A88" s="84"/>
      <c r="B88" s="94" t="s">
        <v>131</v>
      </c>
      <c r="C88" s="55">
        <v>1</v>
      </c>
      <c r="D88" s="48" t="s">
        <v>40</v>
      </c>
      <c r="E88" s="148">
        <v>0</v>
      </c>
      <c r="F88" s="56"/>
      <c r="G88" s="57"/>
      <c r="H88" s="50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6"/>
      <c r="T88" s="50"/>
      <c r="U88" s="57"/>
      <c r="V88" s="55"/>
      <c r="W88" s="57"/>
      <c r="X88" s="50"/>
      <c r="Y88" s="57"/>
    </row>
    <row r="89" spans="1:40" x14ac:dyDescent="0.25">
      <c r="A89" s="84"/>
      <c r="B89" s="94" t="s">
        <v>132</v>
      </c>
      <c r="C89" s="55">
        <v>1</v>
      </c>
      <c r="D89" s="48" t="s">
        <v>40</v>
      </c>
      <c r="E89" s="148">
        <v>0</v>
      </c>
      <c r="F89" s="56"/>
      <c r="G89" s="57"/>
      <c r="H89" s="50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6"/>
      <c r="T89" s="50"/>
      <c r="U89" s="57"/>
      <c r="V89" s="55"/>
      <c r="W89" s="57"/>
      <c r="X89" s="50"/>
      <c r="Y89" s="57"/>
    </row>
    <row r="90" spans="1:40" x14ac:dyDescent="0.25">
      <c r="A90" s="84"/>
      <c r="B90" s="94" t="s">
        <v>128</v>
      </c>
      <c r="C90" s="55">
        <v>1</v>
      </c>
      <c r="D90" s="48" t="s">
        <v>40</v>
      </c>
      <c r="E90" s="51">
        <f>0.165*E84</f>
        <v>379500</v>
      </c>
      <c r="F90" s="52"/>
      <c r="G90" s="57"/>
      <c r="H90" s="50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6"/>
      <c r="T90" s="50"/>
      <c r="U90" s="57"/>
      <c r="V90" s="55"/>
      <c r="W90" s="57"/>
      <c r="X90" s="50"/>
      <c r="Y90" s="57"/>
    </row>
    <row r="91" spans="1:40" x14ac:dyDescent="0.25">
      <c r="A91" s="77"/>
      <c r="B91" s="93" t="s">
        <v>119</v>
      </c>
      <c r="C91" s="64">
        <f>+C11</f>
        <v>83.25</v>
      </c>
      <c r="D91" s="63" t="s">
        <v>40</v>
      </c>
      <c r="E91" s="64">
        <f>SUM(E92:E98)</f>
        <v>2650057.8783333334</v>
      </c>
      <c r="F91" s="65">
        <f>+E91*C91</f>
        <v>220617318.37125</v>
      </c>
      <c r="G91" s="70"/>
      <c r="H91" s="50">
        <f>+F91</f>
        <v>220617318.37125</v>
      </c>
      <c r="I91" s="55">
        <f t="shared" ref="I91:S91" si="28">+H91</f>
        <v>220617318.37125</v>
      </c>
      <c r="J91" s="55">
        <f t="shared" si="28"/>
        <v>220617318.37125</v>
      </c>
      <c r="K91" s="55">
        <f t="shared" si="28"/>
        <v>220617318.37125</v>
      </c>
      <c r="L91" s="55">
        <f t="shared" si="28"/>
        <v>220617318.37125</v>
      </c>
      <c r="M91" s="55">
        <f t="shared" si="28"/>
        <v>220617318.37125</v>
      </c>
      <c r="N91" s="55">
        <f t="shared" si="28"/>
        <v>220617318.37125</v>
      </c>
      <c r="O91" s="55">
        <f t="shared" si="28"/>
        <v>220617318.37125</v>
      </c>
      <c r="P91" s="55">
        <f t="shared" si="28"/>
        <v>220617318.37125</v>
      </c>
      <c r="Q91" s="55">
        <f t="shared" si="28"/>
        <v>220617318.37125</v>
      </c>
      <c r="R91" s="55">
        <f t="shared" si="28"/>
        <v>220617318.37125</v>
      </c>
      <c r="S91" s="56">
        <f t="shared" si="28"/>
        <v>220617318.37125</v>
      </c>
      <c r="T91" s="53">
        <f>G91+SUM(H91:S91)</f>
        <v>2647407820.4549999</v>
      </c>
      <c r="U91" s="33">
        <f>+SUM(H91:S91)</f>
        <v>2647407820.4549999</v>
      </c>
      <c r="V91" s="55">
        <f>+U91</f>
        <v>2647407820.4549999</v>
      </c>
      <c r="W91" s="57">
        <f>+V91</f>
        <v>2647407820.4549999</v>
      </c>
      <c r="X91" s="50">
        <f>+W91</f>
        <v>2647407820.4549999</v>
      </c>
      <c r="Y91" s="57">
        <f>SUM(T91:X91)</f>
        <v>13237039102.275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25">
      <c r="A92" s="84"/>
      <c r="B92" s="94" t="s">
        <v>126</v>
      </c>
      <c r="C92" s="55">
        <v>1</v>
      </c>
      <c r="D92" s="48" t="s">
        <v>40</v>
      </c>
      <c r="E92" s="127">
        <v>2041123</v>
      </c>
      <c r="F92" s="52"/>
      <c r="G92" s="57"/>
      <c r="H92" s="50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6"/>
      <c r="T92" s="50"/>
      <c r="U92" s="57"/>
      <c r="V92" s="55"/>
      <c r="W92" s="57"/>
      <c r="X92" s="50"/>
      <c r="Y92" s="57"/>
    </row>
    <row r="93" spans="1:40" x14ac:dyDescent="0.25">
      <c r="A93" s="84"/>
      <c r="B93" s="94" t="s">
        <v>127</v>
      </c>
      <c r="C93" s="55">
        <v>1</v>
      </c>
      <c r="D93" s="48" t="s">
        <v>40</v>
      </c>
      <c r="E93" s="51">
        <f>+E92/12</f>
        <v>170093.58333333334</v>
      </c>
      <c r="F93" s="52"/>
      <c r="G93" s="57"/>
      <c r="H93" s="50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6"/>
      <c r="T93" s="50"/>
      <c r="U93" s="57"/>
      <c r="V93" s="55"/>
      <c r="W93" s="57"/>
      <c r="X93" s="50"/>
      <c r="Y93" s="57"/>
    </row>
    <row r="94" spans="1:40" x14ac:dyDescent="0.25">
      <c r="A94" s="84"/>
      <c r="B94" s="94" t="s">
        <v>134</v>
      </c>
      <c r="C94" s="55">
        <v>1</v>
      </c>
      <c r="D94" s="48" t="s">
        <v>40</v>
      </c>
      <c r="E94" s="148">
        <v>102056</v>
      </c>
      <c r="F94" s="56"/>
      <c r="G94" s="57"/>
      <c r="H94" s="50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6"/>
      <c r="T94" s="50"/>
      <c r="U94" s="57"/>
      <c r="V94" s="55"/>
      <c r="W94" s="57"/>
      <c r="X94" s="50"/>
      <c r="Y94" s="57"/>
    </row>
    <row r="95" spans="1:40" x14ac:dyDescent="0.25">
      <c r="A95" s="84"/>
      <c r="B95" s="94" t="s">
        <v>130</v>
      </c>
      <c r="C95" s="55">
        <v>1</v>
      </c>
      <c r="D95" s="48" t="s">
        <v>40</v>
      </c>
      <c r="E95" s="148">
        <v>0</v>
      </c>
      <c r="F95" s="56"/>
      <c r="G95" s="57"/>
      <c r="H95" s="50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6"/>
      <c r="T95" s="50"/>
      <c r="U95" s="57"/>
      <c r="V95" s="55"/>
      <c r="W95" s="57"/>
      <c r="X95" s="50"/>
      <c r="Y95" s="57"/>
    </row>
    <row r="96" spans="1:40" x14ac:dyDescent="0.25">
      <c r="A96" s="84"/>
      <c r="B96" s="94" t="s">
        <v>131</v>
      </c>
      <c r="C96" s="55">
        <v>1</v>
      </c>
      <c r="D96" s="48" t="s">
        <v>40</v>
      </c>
      <c r="E96" s="148">
        <v>0</v>
      </c>
      <c r="F96" s="56"/>
      <c r="G96" s="57"/>
      <c r="H96" s="50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6"/>
      <c r="T96" s="50"/>
      <c r="U96" s="57"/>
      <c r="V96" s="55"/>
      <c r="W96" s="57"/>
      <c r="X96" s="50"/>
      <c r="Y96" s="57"/>
    </row>
    <row r="97" spans="1:40" x14ac:dyDescent="0.25">
      <c r="A97" s="84"/>
      <c r="B97" s="94" t="s">
        <v>132</v>
      </c>
      <c r="C97" s="55">
        <v>1</v>
      </c>
      <c r="D97" s="48" t="s">
        <v>40</v>
      </c>
      <c r="E97" s="148">
        <v>0</v>
      </c>
      <c r="F97" s="56"/>
      <c r="G97" s="57"/>
      <c r="H97" s="50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6"/>
      <c r="T97" s="50"/>
      <c r="U97" s="57"/>
      <c r="V97" s="55"/>
      <c r="W97" s="57"/>
      <c r="X97" s="50"/>
      <c r="Y97" s="57"/>
    </row>
    <row r="98" spans="1:40" x14ac:dyDescent="0.25">
      <c r="A98" s="84"/>
      <c r="B98" s="94" t="s">
        <v>128</v>
      </c>
      <c r="C98" s="55">
        <v>1</v>
      </c>
      <c r="D98" s="48" t="s">
        <v>40</v>
      </c>
      <c r="E98" s="51">
        <f>0.165*E92</f>
        <v>336785.29500000004</v>
      </c>
      <c r="F98" s="52"/>
      <c r="G98" s="57"/>
      <c r="H98" s="50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6"/>
      <c r="T98" s="50"/>
      <c r="U98" s="57"/>
      <c r="V98" s="55"/>
      <c r="W98" s="57"/>
      <c r="X98" s="50"/>
      <c r="Y98" s="57"/>
    </row>
    <row r="99" spans="1:40" x14ac:dyDescent="0.25">
      <c r="A99" s="77"/>
      <c r="B99" s="93" t="s">
        <v>303</v>
      </c>
      <c r="C99" s="64">
        <f>C6*C5*4*(C12)</f>
        <v>3996</v>
      </c>
      <c r="D99" s="63" t="s">
        <v>43</v>
      </c>
      <c r="E99" s="64">
        <f>SUM(E100:E102)</f>
        <v>17547.405555555553</v>
      </c>
      <c r="F99" s="65">
        <f>+E99*C99</f>
        <v>70119432.599999994</v>
      </c>
      <c r="G99" s="53"/>
      <c r="H99" s="49">
        <f>+F99</f>
        <v>70119432.599999994</v>
      </c>
      <c r="I99" s="51">
        <f>+H99</f>
        <v>70119432.599999994</v>
      </c>
      <c r="J99" s="51">
        <f t="shared" ref="J99:S99" si="29">+H99</f>
        <v>70119432.599999994</v>
      </c>
      <c r="K99" s="51">
        <f t="shared" si="29"/>
        <v>70119432.599999994</v>
      </c>
      <c r="L99" s="51">
        <f t="shared" si="29"/>
        <v>70119432.599999994</v>
      </c>
      <c r="M99" s="51">
        <f t="shared" si="29"/>
        <v>70119432.599999994</v>
      </c>
      <c r="N99" s="51">
        <f t="shared" si="29"/>
        <v>70119432.599999994</v>
      </c>
      <c r="O99" s="51">
        <f t="shared" si="29"/>
        <v>70119432.599999994</v>
      </c>
      <c r="P99" s="51">
        <f t="shared" si="29"/>
        <v>70119432.599999994</v>
      </c>
      <c r="Q99" s="51">
        <f t="shared" si="29"/>
        <v>70119432.599999994</v>
      </c>
      <c r="R99" s="51">
        <f t="shared" si="29"/>
        <v>70119432.599999994</v>
      </c>
      <c r="S99" s="52">
        <f t="shared" si="29"/>
        <v>70119432.599999994</v>
      </c>
      <c r="T99" s="53">
        <f>G99+SUM(H99:S99)</f>
        <v>841433191.20000017</v>
      </c>
      <c r="U99" s="33">
        <f>+SUM(H99:S99)</f>
        <v>841433191.20000017</v>
      </c>
      <c r="V99" s="53">
        <f>+U99</f>
        <v>841433191.20000017</v>
      </c>
      <c r="W99" s="53">
        <f>+V99</f>
        <v>841433191.20000017</v>
      </c>
      <c r="X99" s="53">
        <f>+W99</f>
        <v>841433191.20000017</v>
      </c>
      <c r="Y99" s="53">
        <f>SUM(T99:X99)</f>
        <v>4207165956.000001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s="26" customFormat="1" x14ac:dyDescent="0.25">
      <c r="A100" s="84"/>
      <c r="B100" s="94" t="s">
        <v>126</v>
      </c>
      <c r="C100" s="55">
        <v>1</v>
      </c>
      <c r="D100" s="48" t="s">
        <v>22</v>
      </c>
      <c r="E100" s="69">
        <f>+'DATOS BÁSICOS DE PARTIDA'!C6/6</f>
        <v>14056.666666666666</v>
      </c>
      <c r="F100" s="52"/>
      <c r="G100" s="57"/>
      <c r="H100" s="50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6"/>
      <c r="T100" s="50"/>
      <c r="U100" s="57"/>
      <c r="V100" s="55"/>
      <c r="W100" s="57"/>
      <c r="X100" s="50"/>
      <c r="Y100" s="57"/>
      <c r="AK100"/>
      <c r="AL100"/>
      <c r="AM100"/>
      <c r="AN100"/>
    </row>
    <row r="101" spans="1:40" s="26" customFormat="1" x14ac:dyDescent="0.25">
      <c r="A101" s="84"/>
      <c r="B101" s="94" t="s">
        <v>127</v>
      </c>
      <c r="C101" s="55">
        <v>1</v>
      </c>
      <c r="D101" s="48" t="s">
        <v>22</v>
      </c>
      <c r="E101" s="51">
        <f>+E100/12</f>
        <v>1171.3888888888889</v>
      </c>
      <c r="F101" s="52"/>
      <c r="G101" s="57"/>
      <c r="H101" s="50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6"/>
      <c r="T101" s="50"/>
      <c r="U101" s="57"/>
      <c r="V101" s="55"/>
      <c r="W101" s="57"/>
      <c r="X101" s="50"/>
      <c r="Y101" s="57"/>
      <c r="AK101"/>
      <c r="AL101"/>
      <c r="AM101"/>
      <c r="AN101"/>
    </row>
    <row r="102" spans="1:40" s="26" customFormat="1" x14ac:dyDescent="0.25">
      <c r="A102" s="84"/>
      <c r="B102" s="94" t="s">
        <v>128</v>
      </c>
      <c r="C102" s="55">
        <v>1</v>
      </c>
      <c r="D102" s="48" t="s">
        <v>22</v>
      </c>
      <c r="E102" s="51">
        <f>0.165*E100</f>
        <v>2319.35</v>
      </c>
      <c r="F102" s="52"/>
      <c r="G102" s="57"/>
      <c r="H102" s="50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6"/>
      <c r="T102" s="50"/>
      <c r="U102" s="57"/>
      <c r="V102" s="55"/>
      <c r="W102" s="57"/>
      <c r="X102" s="50"/>
      <c r="Y102" s="57"/>
      <c r="AK102"/>
      <c r="AL102"/>
      <c r="AM102"/>
      <c r="AN102"/>
    </row>
    <row r="103" spans="1:40" s="26" customFormat="1" x14ac:dyDescent="0.25">
      <c r="A103" s="84"/>
      <c r="B103" s="93" t="s">
        <v>59</v>
      </c>
      <c r="C103" s="55">
        <v>0</v>
      </c>
      <c r="D103" s="48" t="s">
        <v>40</v>
      </c>
      <c r="E103" s="148">
        <v>0</v>
      </c>
      <c r="F103" s="56">
        <f>+E103*C103</f>
        <v>0</v>
      </c>
      <c r="G103" s="57"/>
      <c r="H103" s="50">
        <f>+F103</f>
        <v>0</v>
      </c>
      <c r="I103" s="55">
        <f t="shared" ref="I103:S103" si="30">+H103</f>
        <v>0</v>
      </c>
      <c r="J103" s="55">
        <f t="shared" si="30"/>
        <v>0</v>
      </c>
      <c r="K103" s="55">
        <f t="shared" si="30"/>
        <v>0</v>
      </c>
      <c r="L103" s="55">
        <f t="shared" si="30"/>
        <v>0</v>
      </c>
      <c r="M103" s="55">
        <f t="shared" si="30"/>
        <v>0</v>
      </c>
      <c r="N103" s="55">
        <f t="shared" si="30"/>
        <v>0</v>
      </c>
      <c r="O103" s="55">
        <f t="shared" si="30"/>
        <v>0</v>
      </c>
      <c r="P103" s="55">
        <f t="shared" si="30"/>
        <v>0</v>
      </c>
      <c r="Q103" s="55">
        <f t="shared" si="30"/>
        <v>0</v>
      </c>
      <c r="R103" s="55">
        <f t="shared" si="30"/>
        <v>0</v>
      </c>
      <c r="S103" s="56">
        <f t="shared" si="30"/>
        <v>0</v>
      </c>
      <c r="T103" s="53">
        <f>G103+SUM(H103:S103)</f>
        <v>0</v>
      </c>
      <c r="U103" s="33">
        <f>+SUM(H103:S103)</f>
        <v>0</v>
      </c>
      <c r="V103" s="55">
        <f>+U103</f>
        <v>0</v>
      </c>
      <c r="W103" s="57">
        <f>+V103</f>
        <v>0</v>
      </c>
      <c r="X103" s="50">
        <f>+W103</f>
        <v>0</v>
      </c>
      <c r="Y103" s="57">
        <f>SUM(T103:X103)</f>
        <v>0</v>
      </c>
      <c r="AK103"/>
      <c r="AL103"/>
      <c r="AM103"/>
      <c r="AN103"/>
    </row>
    <row r="104" spans="1:40" s="26" customFormat="1" x14ac:dyDescent="0.25">
      <c r="A104" s="84"/>
      <c r="B104" s="95" t="s">
        <v>146</v>
      </c>
      <c r="C104" s="28"/>
      <c r="D104" s="28"/>
      <c r="E104" s="28"/>
      <c r="F104" s="29"/>
      <c r="G104" s="33"/>
      <c r="H104" s="27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9"/>
      <c r="T104" s="27"/>
      <c r="U104" s="33"/>
      <c r="V104" s="28"/>
      <c r="W104" s="33"/>
      <c r="X104" s="27"/>
      <c r="Y104" s="33"/>
      <c r="AK104"/>
      <c r="AL104"/>
      <c r="AM104"/>
      <c r="AN104"/>
    </row>
    <row r="105" spans="1:40" s="26" customFormat="1" x14ac:dyDescent="0.25">
      <c r="A105" s="84"/>
      <c r="B105" s="92" t="s">
        <v>63</v>
      </c>
      <c r="C105" s="28">
        <v>0</v>
      </c>
      <c r="D105" s="28"/>
      <c r="E105" s="148">
        <v>0</v>
      </c>
      <c r="F105" s="29">
        <f>+E105*C105</f>
        <v>0</v>
      </c>
      <c r="G105" s="33"/>
      <c r="H105" s="27">
        <f>+F105</f>
        <v>0</v>
      </c>
      <c r="I105" s="28">
        <f t="shared" ref="I105:S105" si="31">+H105</f>
        <v>0</v>
      </c>
      <c r="J105" s="28">
        <f t="shared" si="31"/>
        <v>0</v>
      </c>
      <c r="K105" s="28">
        <f t="shared" si="31"/>
        <v>0</v>
      </c>
      <c r="L105" s="28">
        <f t="shared" si="31"/>
        <v>0</v>
      </c>
      <c r="M105" s="28">
        <f t="shared" si="31"/>
        <v>0</v>
      </c>
      <c r="N105" s="28">
        <f t="shared" si="31"/>
        <v>0</v>
      </c>
      <c r="O105" s="28">
        <f t="shared" si="31"/>
        <v>0</v>
      </c>
      <c r="P105" s="28">
        <f t="shared" si="31"/>
        <v>0</v>
      </c>
      <c r="Q105" s="28">
        <f t="shared" si="31"/>
        <v>0</v>
      </c>
      <c r="R105" s="28">
        <f t="shared" si="31"/>
        <v>0</v>
      </c>
      <c r="S105" s="29">
        <f t="shared" si="31"/>
        <v>0</v>
      </c>
      <c r="T105" s="53">
        <f>G105+SUM(H105:S105)</f>
        <v>0</v>
      </c>
      <c r="U105" s="33">
        <f>+SUM(H105:S105)</f>
        <v>0</v>
      </c>
      <c r="V105" s="28">
        <f>+U105</f>
        <v>0</v>
      </c>
      <c r="W105" s="33">
        <f>+V105</f>
        <v>0</v>
      </c>
      <c r="X105" s="27">
        <f>+W105</f>
        <v>0</v>
      </c>
      <c r="Y105" s="33">
        <f>SUM(T105:X105)</f>
        <v>0</v>
      </c>
      <c r="AK105"/>
      <c r="AL105"/>
      <c r="AM105"/>
      <c r="AN105"/>
    </row>
    <row r="106" spans="1:40" s="26" customFormat="1" x14ac:dyDescent="0.25">
      <c r="A106" s="84"/>
      <c r="B106" s="85"/>
      <c r="C106" s="28"/>
      <c r="D106" s="28"/>
      <c r="E106" s="28"/>
      <c r="F106" s="29"/>
      <c r="G106" s="33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7"/>
      <c r="U106" s="33"/>
      <c r="V106" s="28"/>
      <c r="W106" s="33"/>
      <c r="X106" s="27"/>
      <c r="Y106" s="33"/>
      <c r="AK106"/>
      <c r="AL106"/>
      <c r="AM106"/>
      <c r="AN106"/>
    </row>
    <row r="107" spans="1:40" s="26" customFormat="1" x14ac:dyDescent="0.25">
      <c r="A107" s="79" t="s">
        <v>66</v>
      </c>
      <c r="B107" s="85"/>
      <c r="C107" s="28"/>
      <c r="D107" s="28"/>
      <c r="E107" s="28"/>
      <c r="F107" s="29"/>
      <c r="G107" s="33"/>
      <c r="H107" s="27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9"/>
      <c r="T107" s="27"/>
      <c r="U107" s="33"/>
      <c r="V107" s="28"/>
      <c r="W107" s="33"/>
      <c r="X107" s="27"/>
      <c r="Y107" s="33"/>
      <c r="AK107"/>
      <c r="AL107"/>
      <c r="AM107"/>
      <c r="AN107"/>
    </row>
    <row r="108" spans="1:40" s="26" customFormat="1" x14ac:dyDescent="0.25">
      <c r="A108" s="84"/>
      <c r="B108" s="86" t="s">
        <v>122</v>
      </c>
      <c r="C108" s="28">
        <f>+C109+C110</f>
        <v>5</v>
      </c>
      <c r="D108" s="28"/>
      <c r="E108" s="28"/>
      <c r="F108" s="29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7"/>
      <c r="U108" s="33"/>
      <c r="V108" s="28"/>
      <c r="W108" s="33"/>
      <c r="X108" s="27"/>
      <c r="Y108" s="33"/>
      <c r="AK108"/>
      <c r="AL108"/>
      <c r="AM108"/>
      <c r="AN108"/>
    </row>
    <row r="109" spans="1:40" s="26" customFormat="1" x14ac:dyDescent="0.25">
      <c r="A109" s="84"/>
      <c r="B109" s="87" t="s">
        <v>123</v>
      </c>
      <c r="C109" s="28">
        <v>3</v>
      </c>
      <c r="D109" s="28" t="s">
        <v>81</v>
      </c>
      <c r="E109" s="150">
        <f>SUM(H23:H105)</f>
        <v>370787522.03062057</v>
      </c>
      <c r="F109" s="29">
        <f>+E109*C109/100</f>
        <v>11123625.660918618</v>
      </c>
      <c r="G109" s="33"/>
      <c r="H109" s="27">
        <f>+F109</f>
        <v>11123625.660918618</v>
      </c>
      <c r="I109" s="28">
        <f t="shared" ref="I109:S110" si="32">+H109</f>
        <v>11123625.660918618</v>
      </c>
      <c r="J109" s="28">
        <f t="shared" si="32"/>
        <v>11123625.660918618</v>
      </c>
      <c r="K109" s="28">
        <f t="shared" si="32"/>
        <v>11123625.660918618</v>
      </c>
      <c r="L109" s="28">
        <f t="shared" si="32"/>
        <v>11123625.660918618</v>
      </c>
      <c r="M109" s="28">
        <f t="shared" si="32"/>
        <v>11123625.660918618</v>
      </c>
      <c r="N109" s="28">
        <f t="shared" si="32"/>
        <v>11123625.660918618</v>
      </c>
      <c r="O109" s="28">
        <f t="shared" si="32"/>
        <v>11123625.660918618</v>
      </c>
      <c r="P109" s="28">
        <f t="shared" si="32"/>
        <v>11123625.660918618</v>
      </c>
      <c r="Q109" s="28">
        <f t="shared" si="32"/>
        <v>11123625.660918618</v>
      </c>
      <c r="R109" s="28">
        <f t="shared" si="32"/>
        <v>11123625.660918618</v>
      </c>
      <c r="S109" s="29">
        <f t="shared" si="32"/>
        <v>11123625.660918618</v>
      </c>
      <c r="T109" s="53">
        <f>G109+SUM(H109:S109)</f>
        <v>133483507.93102343</v>
      </c>
      <c r="U109" s="33">
        <f>+SUM(H109:S109)</f>
        <v>133483507.93102343</v>
      </c>
      <c r="V109" s="28">
        <f t="shared" ref="V109:X110" si="33">+U109</f>
        <v>133483507.93102343</v>
      </c>
      <c r="W109" s="33">
        <f t="shared" si="33"/>
        <v>133483507.93102343</v>
      </c>
      <c r="X109" s="27">
        <f t="shared" si="33"/>
        <v>133483507.93102343</v>
      </c>
      <c r="Y109" s="33">
        <f>SUM(T109:X109)</f>
        <v>667417539.65511715</v>
      </c>
      <c r="AK109"/>
      <c r="AL109"/>
      <c r="AM109"/>
      <c r="AN109"/>
    </row>
    <row r="110" spans="1:40" s="26" customFormat="1" x14ac:dyDescent="0.25">
      <c r="A110" s="84"/>
      <c r="B110" s="87" t="s">
        <v>124</v>
      </c>
      <c r="C110" s="28">
        <v>2</v>
      </c>
      <c r="D110" s="28" t="s">
        <v>81</v>
      </c>
      <c r="E110" s="150">
        <f>SUM(H59:H106)</f>
        <v>301267863.63791668</v>
      </c>
      <c r="F110" s="29">
        <f>+E110*C110/100</f>
        <v>6025357.2727583339</v>
      </c>
      <c r="G110" s="33"/>
      <c r="H110" s="27">
        <f>+F110</f>
        <v>6025357.2727583339</v>
      </c>
      <c r="I110" s="28">
        <f t="shared" si="32"/>
        <v>6025357.2727583339</v>
      </c>
      <c r="J110" s="28">
        <f t="shared" si="32"/>
        <v>6025357.2727583339</v>
      </c>
      <c r="K110" s="28">
        <f t="shared" si="32"/>
        <v>6025357.2727583339</v>
      </c>
      <c r="L110" s="28">
        <f t="shared" si="32"/>
        <v>6025357.2727583339</v>
      </c>
      <c r="M110" s="28">
        <f t="shared" si="32"/>
        <v>6025357.2727583339</v>
      </c>
      <c r="N110" s="28">
        <f t="shared" si="32"/>
        <v>6025357.2727583339</v>
      </c>
      <c r="O110" s="28">
        <f t="shared" si="32"/>
        <v>6025357.2727583339</v>
      </c>
      <c r="P110" s="28">
        <f t="shared" si="32"/>
        <v>6025357.2727583339</v>
      </c>
      <c r="Q110" s="28">
        <f t="shared" si="32"/>
        <v>6025357.2727583339</v>
      </c>
      <c r="R110" s="28">
        <f t="shared" si="32"/>
        <v>6025357.2727583339</v>
      </c>
      <c r="S110" s="29">
        <f t="shared" si="32"/>
        <v>6025357.2727583339</v>
      </c>
      <c r="T110" s="53">
        <f>G110+SUM(H110:S110)</f>
        <v>72304287.273100004</v>
      </c>
      <c r="U110" s="33">
        <f>+SUM(H110:S110)</f>
        <v>72304287.273100004</v>
      </c>
      <c r="V110" s="28">
        <f t="shared" si="33"/>
        <v>72304287.273100004</v>
      </c>
      <c r="W110" s="33">
        <f t="shared" si="33"/>
        <v>72304287.273100004</v>
      </c>
      <c r="X110" s="27">
        <f t="shared" si="33"/>
        <v>72304287.273100004</v>
      </c>
      <c r="Y110" s="33">
        <f>SUM(T110:X110)</f>
        <v>361521436.36550003</v>
      </c>
      <c r="AK110"/>
      <c r="AL110"/>
      <c r="AM110"/>
      <c r="AN110"/>
    </row>
    <row r="111" spans="1:40" s="26" customFormat="1" x14ac:dyDescent="0.25">
      <c r="A111" s="84"/>
      <c r="B111" s="86" t="s">
        <v>67</v>
      </c>
      <c r="C111" s="28"/>
      <c r="D111" s="28"/>
      <c r="E111" s="28"/>
      <c r="F111" s="29"/>
      <c r="G111" s="33"/>
      <c r="H111" s="27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9"/>
      <c r="T111" s="27"/>
      <c r="U111" s="33"/>
      <c r="V111" s="28"/>
      <c r="W111" s="33"/>
      <c r="X111" s="27"/>
      <c r="Y111" s="33"/>
      <c r="AK111"/>
      <c r="AL111"/>
      <c r="AM111"/>
      <c r="AN111"/>
    </row>
    <row r="112" spans="1:40" s="26" customFormat="1" x14ac:dyDescent="0.25">
      <c r="A112" s="84"/>
      <c r="B112" s="87" t="s">
        <v>313</v>
      </c>
      <c r="C112" s="121">
        <v>0.25</v>
      </c>
      <c r="D112" s="28" t="s">
        <v>40</v>
      </c>
      <c r="E112" s="148">
        <v>2500000</v>
      </c>
      <c r="F112" s="29">
        <f>+E112*C112</f>
        <v>625000</v>
      </c>
      <c r="G112" s="33"/>
      <c r="H112" s="27">
        <f>+F112</f>
        <v>625000</v>
      </c>
      <c r="I112" s="28">
        <f>+H112</f>
        <v>625000</v>
      </c>
      <c r="J112" s="28">
        <f t="shared" ref="J112:S112" si="34">+I112</f>
        <v>625000</v>
      </c>
      <c r="K112" s="28">
        <f t="shared" si="34"/>
        <v>625000</v>
      </c>
      <c r="L112" s="28">
        <f t="shared" si="34"/>
        <v>625000</v>
      </c>
      <c r="M112" s="28">
        <f t="shared" si="34"/>
        <v>625000</v>
      </c>
      <c r="N112" s="28">
        <f t="shared" si="34"/>
        <v>625000</v>
      </c>
      <c r="O112" s="28">
        <f t="shared" si="34"/>
        <v>625000</v>
      </c>
      <c r="P112" s="28">
        <f t="shared" si="34"/>
        <v>625000</v>
      </c>
      <c r="Q112" s="28">
        <f t="shared" si="34"/>
        <v>625000</v>
      </c>
      <c r="R112" s="28">
        <f t="shared" si="34"/>
        <v>625000</v>
      </c>
      <c r="S112" s="29">
        <f t="shared" si="34"/>
        <v>625000</v>
      </c>
      <c r="T112" s="53">
        <f>G112+SUM(H112:S112)</f>
        <v>7500000</v>
      </c>
      <c r="U112" s="33">
        <f>+SUM(H112:S112)</f>
        <v>7500000</v>
      </c>
      <c r="V112" s="28">
        <f>+U112</f>
        <v>7500000</v>
      </c>
      <c r="W112" s="33">
        <f>+V112</f>
        <v>7500000</v>
      </c>
      <c r="X112" s="27">
        <f>+W112</f>
        <v>7500000</v>
      </c>
      <c r="Y112" s="33">
        <f>SUM(T112:X112)</f>
        <v>37500000</v>
      </c>
      <c r="AK112"/>
      <c r="AL112"/>
      <c r="AM112"/>
      <c r="AN112"/>
    </row>
    <row r="113" spans="1:40" s="26" customFormat="1" ht="15.75" thickBot="1" x14ac:dyDescent="0.3">
      <c r="A113" s="88"/>
      <c r="B113" s="89"/>
      <c r="C113" s="31"/>
      <c r="D113" s="31"/>
      <c r="E113" s="31"/>
      <c r="F113" s="32"/>
      <c r="G113" s="34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2"/>
      <c r="T113" s="30"/>
      <c r="U113" s="34"/>
      <c r="V113" s="31"/>
      <c r="W113" s="34"/>
      <c r="X113" s="30"/>
      <c r="Y113" s="34"/>
      <c r="AK113"/>
      <c r="AL113"/>
      <c r="AM113"/>
      <c r="AN113"/>
    </row>
  </sheetData>
  <mergeCells count="1">
    <mergeCell ref="F2:F17"/>
  </mergeCells>
  <pageMargins left="0.7" right="0.7" top="0.75" bottom="0.75" header="0.3" footer="0.3"/>
  <pageSetup paperSize="9" scale="29" orientation="portrait" r:id="rId1"/>
  <rowBreaks count="1" manualBreakCount="1">
    <brk id="17" max="24" man="1"/>
  </rowBreaks>
  <colBreaks count="2" manualBreakCount="2">
    <brk id="6" max="112" man="1"/>
    <brk id="19" max="112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5"/>
  <sheetViews>
    <sheetView view="pageBreakPreview" zoomScale="80" zoomScaleNormal="70" zoomScaleSheetLayoutView="80" workbookViewId="0">
      <selection activeCell="B1" sqref="B1"/>
    </sheetView>
  </sheetViews>
  <sheetFormatPr baseColWidth="10" defaultRowHeight="15" x14ac:dyDescent="0.25"/>
  <cols>
    <col min="2" max="2" width="90" bestFit="1" customWidth="1"/>
    <col min="3" max="3" width="17.42578125" style="26" bestFit="1" customWidth="1"/>
    <col min="4" max="4" width="15.28515625" style="26" bestFit="1" customWidth="1"/>
    <col min="5" max="5" width="15.42578125" style="26" bestFit="1" customWidth="1"/>
    <col min="6" max="6" width="16.28515625" style="26" bestFit="1" customWidth="1"/>
    <col min="7" max="7" width="11.42578125" style="26"/>
    <col min="8" max="8" width="15.85546875" style="26" bestFit="1" customWidth="1"/>
    <col min="9" max="13" width="15.42578125" style="26" bestFit="1" customWidth="1"/>
    <col min="14" max="14" width="15.85546875" style="26" bestFit="1" customWidth="1"/>
    <col min="15" max="19" width="15.42578125" style="26" bestFit="1" customWidth="1"/>
    <col min="20" max="21" width="16.7109375" style="26" bestFit="1" customWidth="1"/>
    <col min="22" max="24" width="17.140625" style="26" bestFit="1" customWidth="1"/>
    <col min="25" max="25" width="17.85546875" style="26" bestFit="1" customWidth="1"/>
    <col min="26" max="36" width="11.42578125" style="26"/>
  </cols>
  <sheetData>
    <row r="1" spans="1:36" ht="27" customHeight="1" thickBot="1" x14ac:dyDescent="0.3">
      <c r="B1" s="97" t="s">
        <v>336</v>
      </c>
    </row>
    <row r="2" spans="1:36" ht="15.75" thickBot="1" x14ac:dyDescent="0.3">
      <c r="A2" s="118" t="s">
        <v>241</v>
      </c>
      <c r="B2" s="8" t="s">
        <v>187</v>
      </c>
      <c r="C2" s="111">
        <f>+'DATOS BÁSICOS DE PARTIDA'!C2</f>
        <v>90128.755364806857</v>
      </c>
      <c r="D2" s="37" t="s">
        <v>47</v>
      </c>
      <c r="E2" s="3"/>
      <c r="F2" s="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5.75" thickBot="1" x14ac:dyDescent="0.3">
      <c r="A3" s="119" t="s">
        <v>276</v>
      </c>
      <c r="B3" t="s">
        <v>161</v>
      </c>
      <c r="C3" s="129">
        <v>7000</v>
      </c>
      <c r="D3" s="26" t="s">
        <v>160</v>
      </c>
      <c r="E3" s="3"/>
      <c r="F3" s="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ht="15.75" thickBot="1" x14ac:dyDescent="0.3">
      <c r="A4" s="119" t="s">
        <v>280</v>
      </c>
      <c r="B4" t="s">
        <v>76</v>
      </c>
      <c r="C4" s="100">
        <f>+'DATOS BÁSICOS DE PARTIDA'!C9*'DATOS BÁSICOS DE PARTIDA'!C7</f>
        <v>718250000</v>
      </c>
      <c r="D4" s="26" t="s">
        <v>70</v>
      </c>
    </row>
    <row r="5" spans="1:36" ht="15.75" thickBot="1" x14ac:dyDescent="0.3">
      <c r="A5" s="119" t="s">
        <v>277</v>
      </c>
      <c r="B5" t="s">
        <v>74</v>
      </c>
      <c r="C5" s="129">
        <v>6</v>
      </c>
      <c r="D5" s="26" t="s">
        <v>77</v>
      </c>
    </row>
    <row r="6" spans="1:36" ht="15.75" thickBot="1" x14ac:dyDescent="0.3">
      <c r="A6" s="119" t="s">
        <v>281</v>
      </c>
      <c r="B6" t="s">
        <v>189</v>
      </c>
      <c r="C6" s="129">
        <v>18</v>
      </c>
      <c r="D6" s="26" t="s">
        <v>22</v>
      </c>
    </row>
    <row r="7" spans="1:36" ht="15.75" thickBot="1" x14ac:dyDescent="0.3">
      <c r="A7" s="119" t="s">
        <v>278</v>
      </c>
      <c r="B7" t="s">
        <v>180</v>
      </c>
      <c r="C7" s="26">
        <f>ROUNDUP(C2*'DATOS BÁSICOS DE PARTIDA'!C3*'DATOS BÁSICOS DE PARTIDA'!C12*((24.01-C6)/24)/C3,0)</f>
        <v>13</v>
      </c>
      <c r="D7" s="26" t="s">
        <v>54</v>
      </c>
    </row>
    <row r="8" spans="1:36" ht="15.75" thickBot="1" x14ac:dyDescent="0.3">
      <c r="A8" s="119" t="s">
        <v>279</v>
      </c>
      <c r="B8" t="s">
        <v>190</v>
      </c>
      <c r="C8" s="100">
        <f>+IF(C7&lt;10,1,ROUNDUP(0.1*C7,0))</f>
        <v>2</v>
      </c>
      <c r="D8" s="26" t="s">
        <v>54</v>
      </c>
    </row>
    <row r="9" spans="1:36" ht="15.75" thickBot="1" x14ac:dyDescent="0.3">
      <c r="A9" s="118" t="s">
        <v>282</v>
      </c>
      <c r="B9" t="s">
        <v>182</v>
      </c>
      <c r="C9" s="100">
        <f>+C7+C8</f>
        <v>15</v>
      </c>
      <c r="D9" s="26" t="s">
        <v>54</v>
      </c>
    </row>
    <row r="10" spans="1:36" ht="15.75" thickBot="1" x14ac:dyDescent="0.3">
      <c r="A10" s="119" t="s">
        <v>283</v>
      </c>
      <c r="B10" t="s">
        <v>307</v>
      </c>
      <c r="C10" s="100">
        <f>+C9*ROUNDUP((C6/6),0)</f>
        <v>45</v>
      </c>
      <c r="D10" s="26" t="s">
        <v>58</v>
      </c>
    </row>
    <row r="11" spans="1:36" ht="15.75" thickBot="1" x14ac:dyDescent="0.3">
      <c r="A11" s="119" t="s">
        <v>284</v>
      </c>
      <c r="B11" t="s">
        <v>308</v>
      </c>
      <c r="C11" s="129">
        <v>2</v>
      </c>
      <c r="D11" s="26" t="s">
        <v>58</v>
      </c>
    </row>
    <row r="12" spans="1:36" ht="15.75" thickBot="1" x14ac:dyDescent="0.3">
      <c r="A12" s="119" t="s">
        <v>285</v>
      </c>
      <c r="B12" t="s">
        <v>309</v>
      </c>
      <c r="C12" s="129">
        <v>0</v>
      </c>
      <c r="D12" s="26" t="s">
        <v>58</v>
      </c>
    </row>
    <row r="13" spans="1:36" ht="15.75" thickBot="1" x14ac:dyDescent="0.3">
      <c r="A13" s="119" t="s">
        <v>286</v>
      </c>
      <c r="B13" t="s">
        <v>73</v>
      </c>
      <c r="C13" s="100">
        <f>+C7*C6*4+10*2*C7</f>
        <v>1196</v>
      </c>
      <c r="D13" s="26" t="s">
        <v>79</v>
      </c>
    </row>
    <row r="14" spans="1:36" ht="15.75" thickBot="1" x14ac:dyDescent="0.3">
      <c r="A14" s="119" t="s">
        <v>287</v>
      </c>
      <c r="B14" t="s">
        <v>71</v>
      </c>
      <c r="C14" s="26">
        <f>C9*C5*C13*4</f>
        <v>430560</v>
      </c>
      <c r="D14" s="26" t="s">
        <v>78</v>
      </c>
    </row>
    <row r="15" spans="1:36" x14ac:dyDescent="0.25">
      <c r="B15" s="4" t="s">
        <v>82</v>
      </c>
      <c r="C15" s="26">
        <f>+Y21/5</f>
        <v>35418662282.197449</v>
      </c>
      <c r="D15" s="36" t="s">
        <v>51</v>
      </c>
    </row>
    <row r="16" spans="1:36" x14ac:dyDescent="0.25">
      <c r="B16" s="9" t="s">
        <v>153</v>
      </c>
      <c r="C16" s="44">
        <f>+C15/6500/('DSIPOSICIÓN FINAL'!C5*365)</f>
        <v>41.719303388764217</v>
      </c>
      <c r="D16" s="99" t="s">
        <v>83</v>
      </c>
    </row>
    <row r="17" spans="1:36" x14ac:dyDescent="0.25">
      <c r="B17" s="7" t="s">
        <v>318</v>
      </c>
      <c r="C17" s="122">
        <f>'DATOS BÁSICOS DE PARTIDA'!C14</f>
        <v>20</v>
      </c>
      <c r="D17" s="123" t="s">
        <v>81</v>
      </c>
    </row>
    <row r="18" spans="1:36" x14ac:dyDescent="0.25">
      <c r="B18" s="9" t="s">
        <v>149</v>
      </c>
      <c r="C18" s="44">
        <f>+C15/12/'DATOS BÁSICOS DE PARTIDA'!C2*(1+C17/100)</f>
        <v>39297.849103580986</v>
      </c>
      <c r="D18" s="39" t="s">
        <v>150</v>
      </c>
    </row>
    <row r="19" spans="1:36" ht="15.75" thickBot="1" x14ac:dyDescent="0.3"/>
    <row r="20" spans="1:36" x14ac:dyDescent="0.25">
      <c r="A20" s="76"/>
      <c r="B20" s="96" t="s">
        <v>140</v>
      </c>
      <c r="C20" s="11" t="s">
        <v>20</v>
      </c>
      <c r="D20" s="11" t="s">
        <v>21</v>
      </c>
      <c r="E20" s="19" t="s">
        <v>23</v>
      </c>
      <c r="F20" s="20" t="s">
        <v>24</v>
      </c>
      <c r="G20" s="22" t="s">
        <v>19</v>
      </c>
      <c r="H20" s="10" t="s">
        <v>2</v>
      </c>
      <c r="I20" s="11" t="s">
        <v>3</v>
      </c>
      <c r="J20" s="11" t="s">
        <v>4</v>
      </c>
      <c r="K20" s="11" t="s">
        <v>5</v>
      </c>
      <c r="L20" s="11" t="s">
        <v>6</v>
      </c>
      <c r="M20" s="11" t="s">
        <v>7</v>
      </c>
      <c r="N20" s="11" t="s">
        <v>8</v>
      </c>
      <c r="O20" s="11" t="s">
        <v>9</v>
      </c>
      <c r="P20" s="11" t="s">
        <v>10</v>
      </c>
      <c r="Q20" s="11" t="s">
        <v>11</v>
      </c>
      <c r="R20" s="11" t="s">
        <v>12</v>
      </c>
      <c r="S20" s="12" t="s">
        <v>13</v>
      </c>
      <c r="T20" s="10" t="s">
        <v>14</v>
      </c>
      <c r="U20" s="22" t="s">
        <v>15</v>
      </c>
      <c r="V20" s="11" t="s">
        <v>16</v>
      </c>
      <c r="W20" s="22" t="s">
        <v>17</v>
      </c>
      <c r="X20" s="10" t="s">
        <v>18</v>
      </c>
      <c r="Y20" s="22" t="s">
        <v>56</v>
      </c>
      <c r="Z20"/>
      <c r="AA20"/>
      <c r="AB20"/>
      <c r="AC20"/>
      <c r="AD20"/>
      <c r="AE20"/>
      <c r="AF20"/>
      <c r="AG20"/>
      <c r="AH20"/>
      <c r="AI20"/>
      <c r="AJ20"/>
    </row>
    <row r="21" spans="1:36" ht="15.75" thickBot="1" x14ac:dyDescent="0.3">
      <c r="A21" s="90"/>
      <c r="B21" s="91"/>
      <c r="C21" s="25"/>
      <c r="D21" s="25"/>
      <c r="E21" s="17"/>
      <c r="F21" s="18"/>
      <c r="G21" s="24">
        <f t="shared" ref="G21:Y21" si="0">SUM(G23:G115)</f>
        <v>6904000</v>
      </c>
      <c r="H21" s="17">
        <f t="shared" si="0"/>
        <v>3002268561.0164542</v>
      </c>
      <c r="I21" s="17">
        <f t="shared" si="0"/>
        <v>2996408561.0164542</v>
      </c>
      <c r="J21" s="17">
        <f t="shared" si="0"/>
        <v>2996408561.0164542</v>
      </c>
      <c r="K21" s="17">
        <f t="shared" si="0"/>
        <v>2996408561.0164542</v>
      </c>
      <c r="L21" s="17">
        <f t="shared" si="0"/>
        <v>2996408561.0164542</v>
      </c>
      <c r="M21" s="17">
        <f t="shared" si="0"/>
        <v>2996408561.0164542</v>
      </c>
      <c r="N21" s="17">
        <f t="shared" si="0"/>
        <v>2997988561.0164542</v>
      </c>
      <c r="O21" s="17">
        <f t="shared" si="0"/>
        <v>2996408561.0164542</v>
      </c>
      <c r="P21" s="17">
        <f t="shared" si="0"/>
        <v>2996408561.0164542</v>
      </c>
      <c r="Q21" s="17">
        <f t="shared" si="0"/>
        <v>2996408561.0164542</v>
      </c>
      <c r="R21" s="17">
        <f t="shared" si="0"/>
        <v>2996408561.0164542</v>
      </c>
      <c r="S21" s="18">
        <f t="shared" si="0"/>
        <v>2996408561.0164542</v>
      </c>
      <c r="T21" s="16">
        <f t="shared" si="0"/>
        <v>35971246732.197449</v>
      </c>
      <c r="U21" s="16">
        <f t="shared" si="0"/>
        <v>35964342732.197449</v>
      </c>
      <c r="V21" s="16">
        <f t="shared" si="0"/>
        <v>35054573982.197449</v>
      </c>
      <c r="W21" s="16">
        <f t="shared" si="0"/>
        <v>35048573982.197449</v>
      </c>
      <c r="X21" s="16">
        <f t="shared" si="0"/>
        <v>35054573982.197449</v>
      </c>
      <c r="Y21" s="24">
        <f t="shared" si="0"/>
        <v>177093311410.98724</v>
      </c>
      <c r="Z21"/>
      <c r="AA21"/>
      <c r="AB21"/>
      <c r="AC21"/>
      <c r="AD21"/>
      <c r="AE21"/>
      <c r="AF21"/>
      <c r="AG21"/>
      <c r="AH21"/>
      <c r="AI21"/>
      <c r="AJ21"/>
    </row>
    <row r="22" spans="1:36" x14ac:dyDescent="0.25">
      <c r="A22" s="84"/>
      <c r="B22" s="78"/>
      <c r="C22" s="28"/>
      <c r="D22" s="28"/>
      <c r="E22" s="28"/>
      <c r="F22" s="29"/>
      <c r="G22" s="33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7"/>
      <c r="U22" s="33"/>
      <c r="V22" s="28"/>
      <c r="W22" s="33"/>
      <c r="X22" s="27"/>
      <c r="Y22" s="33"/>
    </row>
    <row r="23" spans="1:36" x14ac:dyDescent="0.25">
      <c r="A23" s="79" t="s">
        <v>60</v>
      </c>
      <c r="B23" s="85"/>
      <c r="C23" s="28"/>
      <c r="D23" s="28"/>
      <c r="E23" s="28"/>
      <c r="F23" s="29"/>
      <c r="G23" s="33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T23" s="27"/>
      <c r="U23" s="33"/>
      <c r="V23" s="28"/>
      <c r="W23" s="33"/>
      <c r="X23" s="27"/>
      <c r="Y23" s="33"/>
    </row>
    <row r="24" spans="1:36" x14ac:dyDescent="0.25">
      <c r="A24" s="84"/>
      <c r="B24" s="86" t="s">
        <v>135</v>
      </c>
      <c r="C24" s="131">
        <v>1</v>
      </c>
      <c r="D24" s="28" t="s">
        <v>52</v>
      </c>
      <c r="E24" s="148">
        <v>6000000</v>
      </c>
      <c r="F24" s="29">
        <f>+E24*C24</f>
        <v>6000000</v>
      </c>
      <c r="G24" s="33">
        <f>+F24</f>
        <v>6000000</v>
      </c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53">
        <f>+G24+SUM(H24:S24)</f>
        <v>6000000</v>
      </c>
      <c r="U24" s="53">
        <f>+SUM(H24:S24)</f>
        <v>0</v>
      </c>
      <c r="V24" s="28">
        <f>+T24</f>
        <v>6000000</v>
      </c>
      <c r="W24" s="33">
        <v>0</v>
      </c>
      <c r="X24" s="27">
        <f>+V24</f>
        <v>6000000</v>
      </c>
      <c r="Y24" s="33">
        <f>SUM(T24:X24)</f>
        <v>18000000</v>
      </c>
    </row>
    <row r="25" spans="1:36" x14ac:dyDescent="0.25">
      <c r="A25" s="84"/>
      <c r="B25" s="86" t="s">
        <v>67</v>
      </c>
      <c r="C25" s="28"/>
      <c r="D25" s="28"/>
      <c r="E25" s="28"/>
      <c r="F25" s="29"/>
      <c r="G25" s="33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  <c r="T25" s="27"/>
      <c r="U25" s="33"/>
      <c r="V25" s="28"/>
      <c r="W25" s="33"/>
      <c r="X25" s="27"/>
      <c r="Y25" s="33"/>
    </row>
    <row r="26" spans="1:36" x14ac:dyDescent="0.25">
      <c r="A26" s="84"/>
      <c r="B26" s="87" t="s">
        <v>61</v>
      </c>
      <c r="C26" s="28"/>
      <c r="D26" s="28"/>
      <c r="E26" s="148">
        <v>0</v>
      </c>
      <c r="F26" s="29">
        <f t="shared" ref="F26:F34" si="1">+E26*C26</f>
        <v>0</v>
      </c>
      <c r="G26" s="33"/>
      <c r="H26" s="27">
        <f t="shared" ref="H26:H34" si="2">+F26</f>
        <v>0</v>
      </c>
      <c r="I26" s="28">
        <f t="shared" ref="I26:S26" si="3">+H26</f>
        <v>0</v>
      </c>
      <c r="J26" s="28">
        <f t="shared" si="3"/>
        <v>0</v>
      </c>
      <c r="K26" s="28">
        <f t="shared" si="3"/>
        <v>0</v>
      </c>
      <c r="L26" s="28">
        <f t="shared" si="3"/>
        <v>0</v>
      </c>
      <c r="M26" s="28">
        <f t="shared" si="3"/>
        <v>0</v>
      </c>
      <c r="N26" s="28">
        <f t="shared" si="3"/>
        <v>0</v>
      </c>
      <c r="O26" s="28">
        <f t="shared" si="3"/>
        <v>0</v>
      </c>
      <c r="P26" s="28">
        <f t="shared" si="3"/>
        <v>0</v>
      </c>
      <c r="Q26" s="28">
        <f t="shared" si="3"/>
        <v>0</v>
      </c>
      <c r="R26" s="28">
        <f t="shared" si="3"/>
        <v>0</v>
      </c>
      <c r="S26" s="29">
        <f t="shared" si="3"/>
        <v>0</v>
      </c>
      <c r="T26" s="53">
        <f>+G26+SUM(H26:S26)</f>
        <v>0</v>
      </c>
      <c r="U26" s="53">
        <f>+SUM(H26:S26)</f>
        <v>0</v>
      </c>
      <c r="V26" s="28">
        <f>+U26</f>
        <v>0</v>
      </c>
      <c r="W26" s="33">
        <f t="shared" ref="W26:X30" si="4">+V26</f>
        <v>0</v>
      </c>
      <c r="X26" s="27">
        <f t="shared" si="4"/>
        <v>0</v>
      </c>
      <c r="Y26" s="33">
        <f t="shared" ref="Y26:Y34" si="5">SUM(T26:X26)</f>
        <v>0</v>
      </c>
    </row>
    <row r="27" spans="1:36" x14ac:dyDescent="0.25">
      <c r="A27" s="84"/>
      <c r="B27" s="87" t="s">
        <v>62</v>
      </c>
      <c r="C27" s="28"/>
      <c r="D27" s="28"/>
      <c r="E27" s="148">
        <v>0</v>
      </c>
      <c r="F27" s="29">
        <f t="shared" si="1"/>
        <v>0</v>
      </c>
      <c r="G27" s="33"/>
      <c r="H27" s="27">
        <f t="shared" si="2"/>
        <v>0</v>
      </c>
      <c r="I27" s="28">
        <f t="shared" ref="I27:S27" si="6">+H27</f>
        <v>0</v>
      </c>
      <c r="J27" s="28">
        <f t="shared" si="6"/>
        <v>0</v>
      </c>
      <c r="K27" s="28">
        <f t="shared" si="6"/>
        <v>0</v>
      </c>
      <c r="L27" s="28">
        <f t="shared" si="6"/>
        <v>0</v>
      </c>
      <c r="M27" s="28">
        <f t="shared" si="6"/>
        <v>0</v>
      </c>
      <c r="N27" s="28">
        <f t="shared" si="6"/>
        <v>0</v>
      </c>
      <c r="O27" s="28">
        <f t="shared" si="6"/>
        <v>0</v>
      </c>
      <c r="P27" s="28">
        <f t="shared" si="6"/>
        <v>0</v>
      </c>
      <c r="Q27" s="28">
        <f t="shared" si="6"/>
        <v>0</v>
      </c>
      <c r="R27" s="28">
        <f t="shared" si="6"/>
        <v>0</v>
      </c>
      <c r="S27" s="29">
        <f t="shared" si="6"/>
        <v>0</v>
      </c>
      <c r="T27" s="53">
        <f t="shared" ref="T27:T34" si="7">+G27+SUM(H27:S27)</f>
        <v>0</v>
      </c>
      <c r="U27" s="53">
        <f t="shared" ref="U27:U34" si="8">+SUM(H27:S27)</f>
        <v>0</v>
      </c>
      <c r="V27" s="28">
        <f>+U27</f>
        <v>0</v>
      </c>
      <c r="W27" s="33">
        <f t="shared" si="4"/>
        <v>0</v>
      </c>
      <c r="X27" s="27">
        <f t="shared" si="4"/>
        <v>0</v>
      </c>
      <c r="Y27" s="33">
        <f t="shared" si="5"/>
        <v>0</v>
      </c>
    </row>
    <row r="28" spans="1:36" x14ac:dyDescent="0.25">
      <c r="A28" s="84"/>
      <c r="B28" s="87" t="s">
        <v>133</v>
      </c>
      <c r="C28" s="28"/>
      <c r="D28" s="28"/>
      <c r="E28" s="148">
        <v>0</v>
      </c>
      <c r="F28" s="29">
        <f t="shared" si="1"/>
        <v>0</v>
      </c>
      <c r="G28" s="33"/>
      <c r="H28" s="27">
        <f t="shared" si="2"/>
        <v>0</v>
      </c>
      <c r="I28" s="28">
        <f t="shared" ref="I28:S28" si="9">+H28</f>
        <v>0</v>
      </c>
      <c r="J28" s="28">
        <f t="shared" si="9"/>
        <v>0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si="9"/>
        <v>0</v>
      </c>
      <c r="Q28" s="28">
        <f t="shared" si="9"/>
        <v>0</v>
      </c>
      <c r="R28" s="28">
        <f t="shared" si="9"/>
        <v>0</v>
      </c>
      <c r="S28" s="29">
        <f t="shared" si="9"/>
        <v>0</v>
      </c>
      <c r="T28" s="53">
        <f t="shared" si="7"/>
        <v>0</v>
      </c>
      <c r="U28" s="53">
        <f t="shared" si="8"/>
        <v>0</v>
      </c>
      <c r="V28" s="28">
        <f>+U28</f>
        <v>0</v>
      </c>
      <c r="W28" s="33">
        <f t="shared" si="4"/>
        <v>0</v>
      </c>
      <c r="X28" s="27">
        <f t="shared" si="4"/>
        <v>0</v>
      </c>
      <c r="Y28" s="33">
        <f t="shared" si="5"/>
        <v>0</v>
      </c>
    </row>
    <row r="29" spans="1:36" x14ac:dyDescent="0.25">
      <c r="A29" s="84"/>
      <c r="B29" s="101" t="s">
        <v>156</v>
      </c>
      <c r="C29" s="131">
        <v>1</v>
      </c>
      <c r="D29" s="28" t="s">
        <v>40</v>
      </c>
      <c r="E29" s="148">
        <v>1200000</v>
      </c>
      <c r="F29" s="29">
        <f t="shared" si="1"/>
        <v>1200000</v>
      </c>
      <c r="G29" s="33"/>
      <c r="H29" s="27">
        <f t="shared" si="2"/>
        <v>1200000</v>
      </c>
      <c r="I29" s="28">
        <v>0</v>
      </c>
      <c r="J29" s="28">
        <f t="shared" ref="J29:M34" si="10">+I29</f>
        <v>0</v>
      </c>
      <c r="K29" s="28">
        <f t="shared" si="10"/>
        <v>0</v>
      </c>
      <c r="L29" s="28">
        <f t="shared" si="10"/>
        <v>0</v>
      </c>
      <c r="M29" s="28">
        <f t="shared" si="10"/>
        <v>0</v>
      </c>
      <c r="N29" s="28">
        <f>+H29</f>
        <v>1200000</v>
      </c>
      <c r="O29" s="28">
        <v>0</v>
      </c>
      <c r="P29" s="28">
        <f t="shared" ref="P29:S34" si="11">+O29</f>
        <v>0</v>
      </c>
      <c r="Q29" s="28">
        <f t="shared" si="11"/>
        <v>0</v>
      </c>
      <c r="R29" s="28">
        <f t="shared" si="11"/>
        <v>0</v>
      </c>
      <c r="S29" s="29">
        <f t="shared" si="11"/>
        <v>0</v>
      </c>
      <c r="T29" s="53">
        <f t="shared" si="7"/>
        <v>2400000</v>
      </c>
      <c r="U29" s="53">
        <f t="shared" si="8"/>
        <v>2400000</v>
      </c>
      <c r="V29" s="28">
        <f>+U29</f>
        <v>2400000</v>
      </c>
      <c r="W29" s="33">
        <f t="shared" si="4"/>
        <v>2400000</v>
      </c>
      <c r="X29" s="27">
        <f t="shared" si="4"/>
        <v>2400000</v>
      </c>
      <c r="Y29" s="33">
        <f t="shared" si="5"/>
        <v>12000000</v>
      </c>
    </row>
    <row r="30" spans="1:36" x14ac:dyDescent="0.25">
      <c r="A30" s="84"/>
      <c r="B30" s="101" t="s">
        <v>155</v>
      </c>
      <c r="C30" s="28"/>
      <c r="D30" s="28"/>
      <c r="E30" s="148">
        <v>0</v>
      </c>
      <c r="F30" s="29">
        <f t="shared" si="1"/>
        <v>0</v>
      </c>
      <c r="G30" s="33"/>
      <c r="H30" s="27">
        <f t="shared" si="2"/>
        <v>0</v>
      </c>
      <c r="I30" s="28">
        <f>+H30</f>
        <v>0</v>
      </c>
      <c r="J30" s="28">
        <f t="shared" si="10"/>
        <v>0</v>
      </c>
      <c r="K30" s="28">
        <f t="shared" si="10"/>
        <v>0</v>
      </c>
      <c r="L30" s="28">
        <f t="shared" si="10"/>
        <v>0</v>
      </c>
      <c r="M30" s="28">
        <f t="shared" si="10"/>
        <v>0</v>
      </c>
      <c r="N30" s="28">
        <f t="shared" ref="N30:O34" si="12">+M30</f>
        <v>0</v>
      </c>
      <c r="O30" s="28">
        <f t="shared" si="12"/>
        <v>0</v>
      </c>
      <c r="P30" s="28">
        <f t="shared" si="11"/>
        <v>0</v>
      </c>
      <c r="Q30" s="28">
        <f t="shared" si="11"/>
        <v>0</v>
      </c>
      <c r="R30" s="28">
        <f t="shared" si="11"/>
        <v>0</v>
      </c>
      <c r="S30" s="29">
        <f t="shared" si="11"/>
        <v>0</v>
      </c>
      <c r="T30" s="53">
        <f t="shared" si="7"/>
        <v>0</v>
      </c>
      <c r="U30" s="53">
        <f t="shared" si="8"/>
        <v>0</v>
      </c>
      <c r="V30" s="28">
        <f>+U30</f>
        <v>0</v>
      </c>
      <c r="W30" s="33">
        <f t="shared" si="4"/>
        <v>0</v>
      </c>
      <c r="X30" s="27">
        <f t="shared" si="4"/>
        <v>0</v>
      </c>
      <c r="Y30" s="33">
        <f t="shared" si="5"/>
        <v>0</v>
      </c>
    </row>
    <row r="31" spans="1:36" x14ac:dyDescent="0.25">
      <c r="A31" s="84"/>
      <c r="B31" s="101" t="s">
        <v>157</v>
      </c>
      <c r="C31" s="131">
        <v>1</v>
      </c>
      <c r="D31" s="28" t="s">
        <v>40</v>
      </c>
      <c r="E31" s="148">
        <f>350000+600000/12</f>
        <v>400000</v>
      </c>
      <c r="F31" s="29">
        <f t="shared" si="1"/>
        <v>400000</v>
      </c>
      <c r="G31" s="33"/>
      <c r="H31" s="27">
        <f t="shared" si="2"/>
        <v>400000</v>
      </c>
      <c r="I31" s="28">
        <f>+H31</f>
        <v>400000</v>
      </c>
      <c r="J31" s="28">
        <f t="shared" si="10"/>
        <v>400000</v>
      </c>
      <c r="K31" s="28">
        <f t="shared" si="10"/>
        <v>400000</v>
      </c>
      <c r="L31" s="28">
        <f t="shared" si="10"/>
        <v>400000</v>
      </c>
      <c r="M31" s="28">
        <f t="shared" si="10"/>
        <v>400000</v>
      </c>
      <c r="N31" s="28">
        <f t="shared" si="12"/>
        <v>400000</v>
      </c>
      <c r="O31" s="28">
        <f t="shared" si="12"/>
        <v>400000</v>
      </c>
      <c r="P31" s="28">
        <f t="shared" si="11"/>
        <v>400000</v>
      </c>
      <c r="Q31" s="28">
        <f t="shared" si="11"/>
        <v>400000</v>
      </c>
      <c r="R31" s="28">
        <f t="shared" si="11"/>
        <v>400000</v>
      </c>
      <c r="S31" s="29">
        <f t="shared" si="11"/>
        <v>400000</v>
      </c>
      <c r="T31" s="53">
        <f t="shared" si="7"/>
        <v>4800000</v>
      </c>
      <c r="U31" s="53">
        <f t="shared" si="8"/>
        <v>4800000</v>
      </c>
      <c r="V31" s="28">
        <f t="shared" ref="V31:X34" si="13">+U31</f>
        <v>4800000</v>
      </c>
      <c r="W31" s="33">
        <f t="shared" si="13"/>
        <v>4800000</v>
      </c>
      <c r="X31" s="27">
        <f t="shared" si="13"/>
        <v>4800000</v>
      </c>
      <c r="Y31" s="33">
        <f t="shared" si="5"/>
        <v>24000000</v>
      </c>
    </row>
    <row r="32" spans="1:36" x14ac:dyDescent="0.25">
      <c r="A32" s="84"/>
      <c r="B32" s="101" t="s">
        <v>158</v>
      </c>
      <c r="C32" s="28"/>
      <c r="D32" s="28" t="s">
        <v>75</v>
      </c>
      <c r="E32" s="148">
        <v>0</v>
      </c>
      <c r="F32" s="29">
        <f t="shared" si="1"/>
        <v>0</v>
      </c>
      <c r="G32" s="33"/>
      <c r="H32" s="27">
        <f t="shared" si="2"/>
        <v>0</v>
      </c>
      <c r="I32" s="28">
        <f>+H32</f>
        <v>0</v>
      </c>
      <c r="J32" s="28">
        <f t="shared" si="10"/>
        <v>0</v>
      </c>
      <c r="K32" s="28">
        <f t="shared" si="10"/>
        <v>0</v>
      </c>
      <c r="L32" s="28">
        <f t="shared" si="10"/>
        <v>0</v>
      </c>
      <c r="M32" s="28">
        <f t="shared" si="10"/>
        <v>0</v>
      </c>
      <c r="N32" s="28">
        <f t="shared" si="12"/>
        <v>0</v>
      </c>
      <c r="O32" s="28">
        <f t="shared" si="12"/>
        <v>0</v>
      </c>
      <c r="P32" s="28">
        <f t="shared" si="11"/>
        <v>0</v>
      </c>
      <c r="Q32" s="28">
        <f t="shared" si="11"/>
        <v>0</v>
      </c>
      <c r="R32" s="28">
        <f t="shared" si="11"/>
        <v>0</v>
      </c>
      <c r="S32" s="29">
        <f t="shared" si="11"/>
        <v>0</v>
      </c>
      <c r="T32" s="53">
        <f t="shared" si="7"/>
        <v>0</v>
      </c>
      <c r="U32" s="53">
        <f t="shared" si="8"/>
        <v>0</v>
      </c>
      <c r="V32" s="28">
        <f t="shared" si="13"/>
        <v>0</v>
      </c>
      <c r="W32" s="33">
        <f t="shared" si="13"/>
        <v>0</v>
      </c>
      <c r="X32" s="27">
        <f t="shared" si="13"/>
        <v>0</v>
      </c>
      <c r="Y32" s="33">
        <f t="shared" si="5"/>
        <v>0</v>
      </c>
    </row>
    <row r="33" spans="1:40" x14ac:dyDescent="0.25">
      <c r="A33" s="84"/>
      <c r="B33" s="101" t="s">
        <v>159</v>
      </c>
      <c r="C33" s="131">
        <v>1</v>
      </c>
      <c r="D33" s="28" t="s">
        <v>40</v>
      </c>
      <c r="E33" s="28">
        <f>2*0.3*F36</f>
        <v>722384956.79999995</v>
      </c>
      <c r="F33" s="29">
        <f t="shared" si="1"/>
        <v>722384956.79999995</v>
      </c>
      <c r="G33" s="33"/>
      <c r="H33" s="27">
        <f t="shared" si="2"/>
        <v>722384956.79999995</v>
      </c>
      <c r="I33" s="28">
        <f>+H33</f>
        <v>722384956.79999995</v>
      </c>
      <c r="J33" s="28">
        <f t="shared" si="10"/>
        <v>722384956.79999995</v>
      </c>
      <c r="K33" s="28">
        <f t="shared" si="10"/>
        <v>722384956.79999995</v>
      </c>
      <c r="L33" s="28">
        <f t="shared" si="10"/>
        <v>722384956.79999995</v>
      </c>
      <c r="M33" s="28">
        <f t="shared" si="10"/>
        <v>722384956.79999995</v>
      </c>
      <c r="N33" s="28">
        <f t="shared" si="12"/>
        <v>722384956.79999995</v>
      </c>
      <c r="O33" s="28">
        <f t="shared" si="12"/>
        <v>722384956.79999995</v>
      </c>
      <c r="P33" s="28">
        <f t="shared" si="11"/>
        <v>722384956.79999995</v>
      </c>
      <c r="Q33" s="28">
        <f t="shared" si="11"/>
        <v>722384956.79999995</v>
      </c>
      <c r="R33" s="28">
        <f t="shared" si="11"/>
        <v>722384956.79999995</v>
      </c>
      <c r="S33" s="29">
        <f t="shared" si="11"/>
        <v>722384956.79999995</v>
      </c>
      <c r="T33" s="53">
        <f t="shared" si="7"/>
        <v>8668619481.6000004</v>
      </c>
      <c r="U33" s="53">
        <f t="shared" si="8"/>
        <v>8668619481.6000004</v>
      </c>
      <c r="V33" s="28">
        <f t="shared" si="13"/>
        <v>8668619481.6000004</v>
      </c>
      <c r="W33" s="33">
        <f t="shared" si="13"/>
        <v>8668619481.6000004</v>
      </c>
      <c r="X33" s="27">
        <f t="shared" si="13"/>
        <v>8668619481.6000004</v>
      </c>
      <c r="Y33" s="33">
        <f t="shared" si="5"/>
        <v>43343097408</v>
      </c>
    </row>
    <row r="34" spans="1:40" x14ac:dyDescent="0.25">
      <c r="A34" s="84"/>
      <c r="B34" s="87" t="s">
        <v>63</v>
      </c>
      <c r="C34" s="28"/>
      <c r="D34" s="28"/>
      <c r="E34" s="148">
        <v>0</v>
      </c>
      <c r="F34" s="29">
        <f t="shared" si="1"/>
        <v>0</v>
      </c>
      <c r="G34" s="33"/>
      <c r="H34" s="27">
        <f t="shared" si="2"/>
        <v>0</v>
      </c>
      <c r="I34" s="28">
        <f>+H34</f>
        <v>0</v>
      </c>
      <c r="J34" s="28">
        <f t="shared" si="10"/>
        <v>0</v>
      </c>
      <c r="K34" s="28">
        <f t="shared" si="10"/>
        <v>0</v>
      </c>
      <c r="L34" s="28">
        <f t="shared" si="10"/>
        <v>0</v>
      </c>
      <c r="M34" s="28">
        <f t="shared" si="10"/>
        <v>0</v>
      </c>
      <c r="N34" s="28">
        <f t="shared" si="12"/>
        <v>0</v>
      </c>
      <c r="O34" s="28">
        <f t="shared" si="12"/>
        <v>0</v>
      </c>
      <c r="P34" s="28">
        <f t="shared" si="11"/>
        <v>0</v>
      </c>
      <c r="Q34" s="28">
        <f t="shared" si="11"/>
        <v>0</v>
      </c>
      <c r="R34" s="28">
        <f t="shared" si="11"/>
        <v>0</v>
      </c>
      <c r="S34" s="29">
        <f t="shared" si="11"/>
        <v>0</v>
      </c>
      <c r="T34" s="53">
        <f t="shared" si="7"/>
        <v>0</v>
      </c>
      <c r="U34" s="53">
        <f t="shared" si="8"/>
        <v>0</v>
      </c>
      <c r="V34" s="28">
        <f t="shared" si="13"/>
        <v>0</v>
      </c>
      <c r="W34" s="33">
        <f t="shared" si="13"/>
        <v>0</v>
      </c>
      <c r="X34" s="27">
        <f t="shared" si="13"/>
        <v>0</v>
      </c>
      <c r="Y34" s="33">
        <f t="shared" si="5"/>
        <v>0</v>
      </c>
    </row>
    <row r="35" spans="1:40" x14ac:dyDescent="0.25">
      <c r="A35" s="84"/>
      <c r="B35" s="86" t="s">
        <v>68</v>
      </c>
      <c r="C35" s="28"/>
      <c r="D35" s="28"/>
      <c r="E35" s="28"/>
      <c r="F35" s="29"/>
      <c r="G35" s="33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33"/>
      <c r="V35" s="28"/>
      <c r="W35" s="33"/>
      <c r="X35" s="27"/>
      <c r="Y35" s="33"/>
    </row>
    <row r="36" spans="1:40" x14ac:dyDescent="0.25">
      <c r="A36" s="84"/>
      <c r="B36" s="87" t="s">
        <v>64</v>
      </c>
      <c r="C36" s="28">
        <f>0.45*C14</f>
        <v>193752</v>
      </c>
      <c r="D36" s="28" t="s">
        <v>80</v>
      </c>
      <c r="E36" s="149">
        <f>+'DATOS BÁSICOS DE PARTIDA'!C8*1.3</f>
        <v>6214</v>
      </c>
      <c r="F36" s="29">
        <f t="shared" ref="F36:F47" si="14">+E36*C36</f>
        <v>1203974928</v>
      </c>
      <c r="G36" s="33"/>
      <c r="H36" s="27">
        <f t="shared" ref="H36:H47" si="15">+F36</f>
        <v>1203974928</v>
      </c>
      <c r="I36" s="28">
        <f t="shared" ref="I36:S36" si="16">+H36</f>
        <v>1203974928</v>
      </c>
      <c r="J36" s="28">
        <f t="shared" si="16"/>
        <v>1203974928</v>
      </c>
      <c r="K36" s="28">
        <f t="shared" si="16"/>
        <v>1203974928</v>
      </c>
      <c r="L36" s="28">
        <f t="shared" si="16"/>
        <v>1203974928</v>
      </c>
      <c r="M36" s="28">
        <f t="shared" si="16"/>
        <v>1203974928</v>
      </c>
      <c r="N36" s="28">
        <f t="shared" si="16"/>
        <v>1203974928</v>
      </c>
      <c r="O36" s="28">
        <f t="shared" si="16"/>
        <v>1203974928</v>
      </c>
      <c r="P36" s="28">
        <f t="shared" si="16"/>
        <v>1203974928</v>
      </c>
      <c r="Q36" s="28">
        <f t="shared" si="16"/>
        <v>1203974928</v>
      </c>
      <c r="R36" s="28">
        <f t="shared" si="16"/>
        <v>1203974928</v>
      </c>
      <c r="S36" s="29">
        <f t="shared" si="16"/>
        <v>1203974928</v>
      </c>
      <c r="T36" s="53">
        <f t="shared" ref="T36:T47" si="17">+G36+SUM(H36:S36)</f>
        <v>14447699136</v>
      </c>
      <c r="U36" s="53">
        <f t="shared" ref="U36:U47" si="18">+SUM(H36:S36)</f>
        <v>14447699136</v>
      </c>
      <c r="V36" s="28">
        <f t="shared" ref="V36:X47" si="19">+U36</f>
        <v>14447699136</v>
      </c>
      <c r="W36" s="33">
        <f t="shared" si="19"/>
        <v>14447699136</v>
      </c>
      <c r="X36" s="27">
        <f t="shared" si="19"/>
        <v>14447699136</v>
      </c>
      <c r="Y36" s="33">
        <f>SUM(T36:X36)</f>
        <v>72238495680</v>
      </c>
    </row>
    <row r="37" spans="1:40" x14ac:dyDescent="0.25">
      <c r="A37" s="84"/>
      <c r="B37" s="87" t="s">
        <v>65</v>
      </c>
      <c r="C37" s="28">
        <v>0</v>
      </c>
      <c r="D37" s="28" t="s">
        <v>324</v>
      </c>
      <c r="E37" s="148">
        <v>0</v>
      </c>
      <c r="F37" s="29">
        <f t="shared" si="14"/>
        <v>0</v>
      </c>
      <c r="G37" s="33"/>
      <c r="H37" s="27">
        <f t="shared" si="15"/>
        <v>0</v>
      </c>
      <c r="I37" s="28">
        <f t="shared" ref="I37:S37" si="20">+H37</f>
        <v>0</v>
      </c>
      <c r="J37" s="28">
        <f t="shared" si="20"/>
        <v>0</v>
      </c>
      <c r="K37" s="28">
        <f t="shared" si="20"/>
        <v>0</v>
      </c>
      <c r="L37" s="28">
        <f t="shared" si="20"/>
        <v>0</v>
      </c>
      <c r="M37" s="28">
        <f t="shared" si="20"/>
        <v>0</v>
      </c>
      <c r="N37" s="28">
        <f t="shared" si="20"/>
        <v>0</v>
      </c>
      <c r="O37" s="28">
        <f t="shared" si="20"/>
        <v>0</v>
      </c>
      <c r="P37" s="28">
        <f t="shared" si="20"/>
        <v>0</v>
      </c>
      <c r="Q37" s="28">
        <f t="shared" si="20"/>
        <v>0</v>
      </c>
      <c r="R37" s="28">
        <f t="shared" si="20"/>
        <v>0</v>
      </c>
      <c r="S37" s="29">
        <f t="shared" si="20"/>
        <v>0</v>
      </c>
      <c r="T37" s="53">
        <f t="shared" si="17"/>
        <v>0</v>
      </c>
      <c r="U37" s="53">
        <f t="shared" si="18"/>
        <v>0</v>
      </c>
      <c r="V37" s="28">
        <f t="shared" si="19"/>
        <v>0</v>
      </c>
      <c r="W37" s="33">
        <f t="shared" si="19"/>
        <v>0</v>
      </c>
      <c r="X37" s="27">
        <f t="shared" si="19"/>
        <v>0</v>
      </c>
      <c r="Y37" s="33">
        <f>SUM(T37:X37)</f>
        <v>0</v>
      </c>
    </row>
    <row r="38" spans="1:40" x14ac:dyDescent="0.25">
      <c r="A38" s="77"/>
      <c r="B38" s="80" t="s">
        <v>100</v>
      </c>
      <c r="C38" s="73">
        <f>+C11+C10</f>
        <v>47</v>
      </c>
      <c r="D38" s="46" t="s">
        <v>39</v>
      </c>
      <c r="E38" s="148">
        <v>90000</v>
      </c>
      <c r="F38" s="52">
        <f t="shared" si="14"/>
        <v>4230000</v>
      </c>
      <c r="G38" s="53"/>
      <c r="H38" s="49">
        <f t="shared" si="15"/>
        <v>4230000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2"/>
      <c r="T38" s="53">
        <f t="shared" si="17"/>
        <v>4230000</v>
      </c>
      <c r="U38" s="53">
        <f t="shared" si="18"/>
        <v>4230000</v>
      </c>
      <c r="V38" s="53">
        <f t="shared" si="19"/>
        <v>4230000</v>
      </c>
      <c r="W38" s="53">
        <f t="shared" si="19"/>
        <v>4230000</v>
      </c>
      <c r="X38" s="53">
        <f t="shared" si="19"/>
        <v>4230000</v>
      </c>
      <c r="Y38" s="53">
        <f t="shared" ref="Y38:Y45" si="21">SUM(T38:X38)</f>
        <v>21150000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5">
      <c r="A39" s="77"/>
      <c r="B39" s="80" t="s">
        <v>101</v>
      </c>
      <c r="C39" s="73">
        <f>+C38*2</f>
        <v>94</v>
      </c>
      <c r="D39" s="46" t="s">
        <v>39</v>
      </c>
      <c r="E39" s="148">
        <v>6000</v>
      </c>
      <c r="F39" s="52">
        <f t="shared" si="14"/>
        <v>564000</v>
      </c>
      <c r="G39" s="53"/>
      <c r="H39" s="49">
        <f t="shared" si="15"/>
        <v>564000</v>
      </c>
      <c r="I39" s="51">
        <f>+H39</f>
        <v>564000</v>
      </c>
      <c r="J39" s="51">
        <f t="shared" ref="J39:S39" si="22">+H39</f>
        <v>564000</v>
      </c>
      <c r="K39" s="51">
        <f t="shared" si="22"/>
        <v>564000</v>
      </c>
      <c r="L39" s="51">
        <f t="shared" si="22"/>
        <v>564000</v>
      </c>
      <c r="M39" s="51">
        <f t="shared" si="22"/>
        <v>564000</v>
      </c>
      <c r="N39" s="51">
        <f t="shared" si="22"/>
        <v>564000</v>
      </c>
      <c r="O39" s="51">
        <f t="shared" si="22"/>
        <v>564000</v>
      </c>
      <c r="P39" s="51">
        <f t="shared" si="22"/>
        <v>564000</v>
      </c>
      <c r="Q39" s="51">
        <f t="shared" si="22"/>
        <v>564000</v>
      </c>
      <c r="R39" s="51">
        <f t="shared" si="22"/>
        <v>564000</v>
      </c>
      <c r="S39" s="52">
        <f t="shared" si="22"/>
        <v>564000</v>
      </c>
      <c r="T39" s="53">
        <f t="shared" si="17"/>
        <v>6768000</v>
      </c>
      <c r="U39" s="53">
        <f t="shared" si="18"/>
        <v>6768000</v>
      </c>
      <c r="V39" s="53">
        <f t="shared" si="19"/>
        <v>6768000</v>
      </c>
      <c r="W39" s="53">
        <f t="shared" si="19"/>
        <v>6768000</v>
      </c>
      <c r="X39" s="53">
        <f t="shared" si="19"/>
        <v>6768000</v>
      </c>
      <c r="Y39" s="53">
        <f t="shared" si="21"/>
        <v>33840000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5">
      <c r="A40" s="77"/>
      <c r="B40" s="80" t="s">
        <v>136</v>
      </c>
      <c r="C40" s="73">
        <f>+C11</f>
        <v>2</v>
      </c>
      <c r="D40" s="46" t="s">
        <v>39</v>
      </c>
      <c r="E40" s="148">
        <v>150000</v>
      </c>
      <c r="F40" s="52">
        <f t="shared" si="14"/>
        <v>300000</v>
      </c>
      <c r="G40" s="53"/>
      <c r="H40" s="49">
        <f t="shared" si="15"/>
        <v>300000</v>
      </c>
      <c r="I40" s="51"/>
      <c r="J40" s="51"/>
      <c r="K40" s="51"/>
      <c r="L40" s="51"/>
      <c r="M40" s="28"/>
      <c r="N40" s="28">
        <f>+H40</f>
        <v>300000</v>
      </c>
      <c r="O40" s="51"/>
      <c r="P40" s="51"/>
      <c r="Q40" s="51"/>
      <c r="R40" s="51"/>
      <c r="S40" s="52"/>
      <c r="T40" s="53">
        <f t="shared" si="17"/>
        <v>600000</v>
      </c>
      <c r="U40" s="53">
        <f t="shared" si="18"/>
        <v>600000</v>
      </c>
      <c r="V40" s="53">
        <f t="shared" si="19"/>
        <v>600000</v>
      </c>
      <c r="W40" s="53">
        <f t="shared" si="19"/>
        <v>600000</v>
      </c>
      <c r="X40" s="53">
        <f t="shared" si="19"/>
        <v>600000</v>
      </c>
      <c r="Y40" s="53">
        <f t="shared" si="21"/>
        <v>3000000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25">
      <c r="A41" s="77"/>
      <c r="B41" s="80" t="s">
        <v>103</v>
      </c>
      <c r="C41" s="132">
        <v>2</v>
      </c>
      <c r="D41" s="46" t="s">
        <v>39</v>
      </c>
      <c r="E41" s="148">
        <v>25000</v>
      </c>
      <c r="F41" s="52">
        <f t="shared" si="14"/>
        <v>50000</v>
      </c>
      <c r="G41" s="53"/>
      <c r="H41" s="49">
        <f t="shared" si="15"/>
        <v>50000</v>
      </c>
      <c r="I41" s="51"/>
      <c r="J41" s="51"/>
      <c r="K41" s="51"/>
      <c r="L41" s="51"/>
      <c r="M41" s="28"/>
      <c r="N41" s="28">
        <f>+H41</f>
        <v>50000</v>
      </c>
      <c r="O41" s="51"/>
      <c r="P41" s="51"/>
      <c r="Q41" s="51"/>
      <c r="R41" s="51"/>
      <c r="S41" s="52"/>
      <c r="T41" s="53">
        <f t="shared" si="17"/>
        <v>100000</v>
      </c>
      <c r="U41" s="53">
        <f t="shared" si="18"/>
        <v>100000</v>
      </c>
      <c r="V41" s="53">
        <f t="shared" si="19"/>
        <v>100000</v>
      </c>
      <c r="W41" s="53">
        <f t="shared" si="19"/>
        <v>100000</v>
      </c>
      <c r="X41" s="53">
        <f t="shared" si="19"/>
        <v>100000</v>
      </c>
      <c r="Y41" s="53">
        <f t="shared" si="21"/>
        <v>500000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25">
      <c r="A42" s="77"/>
      <c r="B42" s="80" t="s">
        <v>104</v>
      </c>
      <c r="C42" s="132">
        <v>1</v>
      </c>
      <c r="D42" s="46" t="s">
        <v>39</v>
      </c>
      <c r="E42" s="148">
        <v>30000</v>
      </c>
      <c r="F42" s="52">
        <f t="shared" si="14"/>
        <v>30000</v>
      </c>
      <c r="G42" s="53"/>
      <c r="H42" s="49">
        <f t="shared" si="15"/>
        <v>30000</v>
      </c>
      <c r="I42" s="51"/>
      <c r="J42" s="51"/>
      <c r="K42" s="51"/>
      <c r="L42" s="51"/>
      <c r="M42" s="28"/>
      <c r="N42" s="28">
        <f>+H42</f>
        <v>30000</v>
      </c>
      <c r="O42" s="51"/>
      <c r="P42" s="51"/>
      <c r="Q42" s="51"/>
      <c r="R42" s="51"/>
      <c r="S42" s="52"/>
      <c r="T42" s="53">
        <f t="shared" si="17"/>
        <v>60000</v>
      </c>
      <c r="U42" s="53">
        <f t="shared" si="18"/>
        <v>60000</v>
      </c>
      <c r="V42" s="53">
        <f t="shared" si="19"/>
        <v>60000</v>
      </c>
      <c r="W42" s="53">
        <f t="shared" si="19"/>
        <v>60000</v>
      </c>
      <c r="X42" s="53">
        <f t="shared" si="19"/>
        <v>60000</v>
      </c>
      <c r="Y42" s="53">
        <f t="shared" si="21"/>
        <v>300000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5">
      <c r="A43" s="77"/>
      <c r="B43" s="80" t="s">
        <v>105</v>
      </c>
      <c r="C43" s="132">
        <v>0</v>
      </c>
      <c r="D43" s="46" t="s">
        <v>39</v>
      </c>
      <c r="E43" s="148">
        <v>15000</v>
      </c>
      <c r="F43" s="52">
        <f t="shared" si="14"/>
        <v>0</v>
      </c>
      <c r="G43" s="53"/>
      <c r="H43" s="49">
        <f t="shared" si="15"/>
        <v>0</v>
      </c>
      <c r="I43" s="51">
        <f>+H43</f>
        <v>0</v>
      </c>
      <c r="J43" s="51">
        <f t="shared" ref="J43:S43" si="23">+H43</f>
        <v>0</v>
      </c>
      <c r="K43" s="51">
        <f t="shared" si="23"/>
        <v>0</v>
      </c>
      <c r="L43" s="51">
        <f t="shared" si="23"/>
        <v>0</v>
      </c>
      <c r="M43" s="51">
        <f t="shared" si="23"/>
        <v>0</v>
      </c>
      <c r="N43" s="51">
        <f t="shared" si="23"/>
        <v>0</v>
      </c>
      <c r="O43" s="51">
        <f t="shared" si="23"/>
        <v>0</v>
      </c>
      <c r="P43" s="51">
        <f t="shared" si="23"/>
        <v>0</v>
      </c>
      <c r="Q43" s="51">
        <f t="shared" si="23"/>
        <v>0</v>
      </c>
      <c r="R43" s="51">
        <f t="shared" si="23"/>
        <v>0</v>
      </c>
      <c r="S43" s="52">
        <f t="shared" si="23"/>
        <v>0</v>
      </c>
      <c r="T43" s="53">
        <f t="shared" si="17"/>
        <v>0</v>
      </c>
      <c r="U43" s="53">
        <f t="shared" si="18"/>
        <v>0</v>
      </c>
      <c r="V43" s="53">
        <f t="shared" si="19"/>
        <v>0</v>
      </c>
      <c r="W43" s="53">
        <f t="shared" si="19"/>
        <v>0</v>
      </c>
      <c r="X43" s="53">
        <f t="shared" si="19"/>
        <v>0</v>
      </c>
      <c r="Y43" s="53">
        <f t="shared" si="21"/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5">
      <c r="A44" s="77"/>
      <c r="B44" s="80" t="s">
        <v>106</v>
      </c>
      <c r="C44" s="132">
        <v>0</v>
      </c>
      <c r="D44" s="46" t="s">
        <v>39</v>
      </c>
      <c r="E44" s="148">
        <v>30000</v>
      </c>
      <c r="F44" s="52">
        <f t="shared" si="14"/>
        <v>0</v>
      </c>
      <c r="G44" s="53"/>
      <c r="H44" s="49">
        <f t="shared" si="15"/>
        <v>0</v>
      </c>
      <c r="I44" s="51"/>
      <c r="J44" s="51"/>
      <c r="K44" s="51"/>
      <c r="L44" s="51"/>
      <c r="M44" s="51">
        <f>+H44</f>
        <v>0</v>
      </c>
      <c r="N44" s="51"/>
      <c r="O44" s="51"/>
      <c r="P44" s="51"/>
      <c r="Q44" s="51"/>
      <c r="R44" s="51"/>
      <c r="S44" s="52"/>
      <c r="T44" s="53">
        <f t="shared" si="17"/>
        <v>0</v>
      </c>
      <c r="U44" s="53">
        <f t="shared" si="18"/>
        <v>0</v>
      </c>
      <c r="V44" s="53">
        <f t="shared" si="19"/>
        <v>0</v>
      </c>
      <c r="W44" s="53">
        <f t="shared" si="19"/>
        <v>0</v>
      </c>
      <c r="X44" s="53">
        <f t="shared" si="19"/>
        <v>0</v>
      </c>
      <c r="Y44" s="53">
        <f t="shared" si="21"/>
        <v>0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25">
      <c r="A45" s="77"/>
      <c r="B45" s="80" t="s">
        <v>108</v>
      </c>
      <c r="C45" s="132">
        <v>0</v>
      </c>
      <c r="D45" s="46" t="s">
        <v>39</v>
      </c>
      <c r="E45" s="148">
        <v>250000</v>
      </c>
      <c r="F45" s="52">
        <f t="shared" si="14"/>
        <v>0</v>
      </c>
      <c r="G45" s="53"/>
      <c r="H45" s="49">
        <f t="shared" si="15"/>
        <v>0</v>
      </c>
      <c r="I45" s="51">
        <f>+H45</f>
        <v>0</v>
      </c>
      <c r="J45" s="51">
        <f t="shared" ref="J45:S46" si="24">+H45</f>
        <v>0</v>
      </c>
      <c r="K45" s="51">
        <f t="shared" si="24"/>
        <v>0</v>
      </c>
      <c r="L45" s="51">
        <f t="shared" si="24"/>
        <v>0</v>
      </c>
      <c r="M45" s="51">
        <f t="shared" si="24"/>
        <v>0</v>
      </c>
      <c r="N45" s="51">
        <f t="shared" si="24"/>
        <v>0</v>
      </c>
      <c r="O45" s="51">
        <f t="shared" si="24"/>
        <v>0</v>
      </c>
      <c r="P45" s="51">
        <f t="shared" si="24"/>
        <v>0</v>
      </c>
      <c r="Q45" s="51">
        <f t="shared" si="24"/>
        <v>0</v>
      </c>
      <c r="R45" s="51">
        <f t="shared" si="24"/>
        <v>0</v>
      </c>
      <c r="S45" s="52">
        <f t="shared" si="24"/>
        <v>0</v>
      </c>
      <c r="T45" s="53">
        <f t="shared" si="17"/>
        <v>0</v>
      </c>
      <c r="U45" s="53">
        <f t="shared" si="18"/>
        <v>0</v>
      </c>
      <c r="V45" s="53">
        <f t="shared" si="19"/>
        <v>0</v>
      </c>
      <c r="W45" s="53">
        <f t="shared" si="19"/>
        <v>0</v>
      </c>
      <c r="X45" s="53">
        <f t="shared" si="19"/>
        <v>0</v>
      </c>
      <c r="Y45" s="53">
        <f t="shared" si="21"/>
        <v>0</v>
      </c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25">
      <c r="A46" s="77"/>
      <c r="B46" s="80" t="s">
        <v>109</v>
      </c>
      <c r="C46" s="73">
        <f>0.1*C2*C5*4</f>
        <v>216309.01287553646</v>
      </c>
      <c r="D46" s="46" t="s">
        <v>39</v>
      </c>
      <c r="E46" s="148">
        <v>1500</v>
      </c>
      <c r="F46" s="52">
        <f t="shared" si="14"/>
        <v>324463519.31330466</v>
      </c>
      <c r="G46" s="53"/>
      <c r="H46" s="49">
        <f t="shared" si="15"/>
        <v>324463519.31330466</v>
      </c>
      <c r="I46" s="51">
        <f>+H46</f>
        <v>324463519.31330466</v>
      </c>
      <c r="J46" s="51">
        <f t="shared" si="24"/>
        <v>324463519.31330466</v>
      </c>
      <c r="K46" s="51">
        <f t="shared" si="24"/>
        <v>324463519.31330466</v>
      </c>
      <c r="L46" s="51">
        <f t="shared" si="24"/>
        <v>324463519.31330466</v>
      </c>
      <c r="M46" s="51">
        <f t="shared" si="24"/>
        <v>324463519.31330466</v>
      </c>
      <c r="N46" s="51">
        <f t="shared" si="24"/>
        <v>324463519.31330466</v>
      </c>
      <c r="O46" s="51">
        <f t="shared" si="24"/>
        <v>324463519.31330466</v>
      </c>
      <c r="P46" s="51">
        <f t="shared" si="24"/>
        <v>324463519.31330466</v>
      </c>
      <c r="Q46" s="51">
        <f t="shared" si="24"/>
        <v>324463519.31330466</v>
      </c>
      <c r="R46" s="51">
        <f t="shared" si="24"/>
        <v>324463519.31330466</v>
      </c>
      <c r="S46" s="52">
        <f t="shared" si="24"/>
        <v>324463519.31330466</v>
      </c>
      <c r="T46" s="53">
        <f t="shared" si="17"/>
        <v>3893562231.7596569</v>
      </c>
      <c r="U46" s="53">
        <f t="shared" si="18"/>
        <v>3893562231.7596569</v>
      </c>
      <c r="V46" s="53">
        <f t="shared" si="19"/>
        <v>3893562231.7596569</v>
      </c>
      <c r="W46" s="53">
        <f t="shared" si="19"/>
        <v>3893562231.7596569</v>
      </c>
      <c r="X46" s="53">
        <f t="shared" si="19"/>
        <v>3893562231.7596569</v>
      </c>
      <c r="Y46" s="53">
        <f>SUM(T46:X46)</f>
        <v>19467811158.798286</v>
      </c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25">
      <c r="A47" s="84"/>
      <c r="B47" s="92" t="s">
        <v>152</v>
      </c>
      <c r="C47" s="28"/>
      <c r="D47" s="28"/>
      <c r="E47" s="148">
        <v>0</v>
      </c>
      <c r="F47" s="29">
        <f t="shared" si="14"/>
        <v>0</v>
      </c>
      <c r="G47" s="33"/>
      <c r="H47" s="27">
        <f t="shared" si="15"/>
        <v>0</v>
      </c>
      <c r="I47" s="28">
        <f>+H47</f>
        <v>0</v>
      </c>
      <c r="J47" s="28">
        <f t="shared" ref="J47:S47" si="25">+I47</f>
        <v>0</v>
      </c>
      <c r="K47" s="28">
        <f t="shared" si="25"/>
        <v>0</v>
      </c>
      <c r="L47" s="28">
        <f t="shared" si="25"/>
        <v>0</v>
      </c>
      <c r="M47" s="28">
        <f t="shared" si="25"/>
        <v>0</v>
      </c>
      <c r="N47" s="28">
        <f t="shared" si="25"/>
        <v>0</v>
      </c>
      <c r="O47" s="28">
        <f t="shared" si="25"/>
        <v>0</v>
      </c>
      <c r="P47" s="28">
        <f t="shared" si="25"/>
        <v>0</v>
      </c>
      <c r="Q47" s="28">
        <f t="shared" si="25"/>
        <v>0</v>
      </c>
      <c r="R47" s="28">
        <f t="shared" si="25"/>
        <v>0</v>
      </c>
      <c r="S47" s="29">
        <f t="shared" si="25"/>
        <v>0</v>
      </c>
      <c r="T47" s="53">
        <f t="shared" si="17"/>
        <v>0</v>
      </c>
      <c r="U47" s="53">
        <f t="shared" si="18"/>
        <v>0</v>
      </c>
      <c r="V47" s="28">
        <f t="shared" si="19"/>
        <v>0</v>
      </c>
      <c r="W47" s="33">
        <f t="shared" si="19"/>
        <v>0</v>
      </c>
      <c r="X47" s="27">
        <f t="shared" si="19"/>
        <v>0</v>
      </c>
      <c r="Y47" s="33">
        <f>SUM(T47:X47)</f>
        <v>0</v>
      </c>
    </row>
    <row r="48" spans="1:40" x14ac:dyDescent="0.25">
      <c r="A48" s="77"/>
      <c r="B48" s="86" t="s">
        <v>142</v>
      </c>
      <c r="C48" s="71"/>
      <c r="D48" s="46"/>
      <c r="E48" s="51"/>
      <c r="F48" s="52"/>
      <c r="G48" s="53"/>
      <c r="H48" s="49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T48" s="53"/>
      <c r="U48" s="53"/>
      <c r="V48" s="53"/>
      <c r="W48" s="53"/>
      <c r="X48" s="53"/>
      <c r="Y48" s="53">
        <f t="shared" ref="Y48:Y55" si="26">SUM(T48:X48)</f>
        <v>0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5">
      <c r="A49" s="77"/>
      <c r="B49" s="92" t="s">
        <v>112</v>
      </c>
      <c r="C49" s="133">
        <v>2</v>
      </c>
      <c r="D49" s="46" t="s">
        <v>54</v>
      </c>
      <c r="E49" s="148">
        <v>250000</v>
      </c>
      <c r="F49" s="52">
        <f t="shared" ref="F49:F55" si="27">+E49*C49</f>
        <v>500000</v>
      </c>
      <c r="G49" s="53">
        <f>+F49/5</f>
        <v>100000</v>
      </c>
      <c r="H49" s="4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2"/>
      <c r="T49" s="53">
        <f>+G49+SUM(H49:S49)</f>
        <v>100000</v>
      </c>
      <c r="U49" s="53">
        <f>+SUM(H49:S49)</f>
        <v>0</v>
      </c>
      <c r="V49" s="53">
        <f t="shared" ref="V49:X55" si="28">+U49</f>
        <v>0</v>
      </c>
      <c r="W49" s="53">
        <f t="shared" si="28"/>
        <v>0</v>
      </c>
      <c r="X49" s="53">
        <f t="shared" si="28"/>
        <v>0</v>
      </c>
      <c r="Y49" s="53">
        <f t="shared" si="26"/>
        <v>100000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77"/>
      <c r="B50" s="92" t="s">
        <v>113</v>
      </c>
      <c r="C50" s="134">
        <v>6</v>
      </c>
      <c r="D50" s="47" t="s">
        <v>54</v>
      </c>
      <c r="E50" s="148">
        <v>120000</v>
      </c>
      <c r="F50" s="52">
        <f t="shared" si="27"/>
        <v>720000</v>
      </c>
      <c r="G50" s="53">
        <f>+F50/5</f>
        <v>144000</v>
      </c>
      <c r="H50" s="4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2"/>
      <c r="T50" s="53">
        <f t="shared" ref="T50:T55" si="29">+G50+SUM(H50:S50)</f>
        <v>144000</v>
      </c>
      <c r="U50" s="53">
        <f t="shared" ref="U50:U55" si="30">+SUM(H50:S50)</f>
        <v>0</v>
      </c>
      <c r="V50" s="53">
        <f t="shared" si="28"/>
        <v>0</v>
      </c>
      <c r="W50" s="53">
        <f t="shared" si="28"/>
        <v>0</v>
      </c>
      <c r="X50" s="53">
        <f t="shared" si="28"/>
        <v>0</v>
      </c>
      <c r="Y50" s="53">
        <f t="shared" si="26"/>
        <v>144000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77"/>
      <c r="B51" s="92" t="s">
        <v>114</v>
      </c>
      <c r="C51" s="134">
        <v>1</v>
      </c>
      <c r="D51" s="47" t="s">
        <v>54</v>
      </c>
      <c r="E51" s="148">
        <v>450000</v>
      </c>
      <c r="F51" s="52">
        <f t="shared" si="27"/>
        <v>450000</v>
      </c>
      <c r="G51" s="53">
        <f>+F51/5</f>
        <v>90000</v>
      </c>
      <c r="H51" s="49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2"/>
      <c r="T51" s="53">
        <f t="shared" si="29"/>
        <v>90000</v>
      </c>
      <c r="U51" s="53">
        <f t="shared" si="30"/>
        <v>0</v>
      </c>
      <c r="V51" s="53">
        <f t="shared" si="28"/>
        <v>0</v>
      </c>
      <c r="W51" s="53">
        <f t="shared" si="28"/>
        <v>0</v>
      </c>
      <c r="X51" s="53">
        <f t="shared" si="28"/>
        <v>0</v>
      </c>
      <c r="Y51" s="53">
        <f t="shared" si="26"/>
        <v>90000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x14ac:dyDescent="0.25">
      <c r="A52" s="77"/>
      <c r="B52" s="92" t="s">
        <v>115</v>
      </c>
      <c r="C52" s="134">
        <v>1</v>
      </c>
      <c r="D52" s="47" t="s">
        <v>54</v>
      </c>
      <c r="E52" s="148">
        <v>2850000</v>
      </c>
      <c r="F52" s="52">
        <f>+E52*C52</f>
        <v>2850000</v>
      </c>
      <c r="G52" s="53">
        <f>+F52/5</f>
        <v>570000</v>
      </c>
      <c r="H52" s="49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2"/>
      <c r="T52" s="53">
        <f t="shared" si="29"/>
        <v>570000</v>
      </c>
      <c r="U52" s="53">
        <f t="shared" si="30"/>
        <v>0</v>
      </c>
      <c r="V52" s="53">
        <f t="shared" si="28"/>
        <v>0</v>
      </c>
      <c r="W52" s="53">
        <f t="shared" si="28"/>
        <v>0</v>
      </c>
      <c r="X52" s="53">
        <f t="shared" si="28"/>
        <v>0</v>
      </c>
      <c r="Y52" s="53">
        <f t="shared" si="26"/>
        <v>570000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x14ac:dyDescent="0.25">
      <c r="A53" s="77"/>
      <c r="B53" s="92" t="s">
        <v>116</v>
      </c>
      <c r="C53" s="134">
        <v>2</v>
      </c>
      <c r="D53" s="47" t="s">
        <v>54</v>
      </c>
      <c r="E53" s="148">
        <v>25000</v>
      </c>
      <c r="F53" s="52">
        <f t="shared" si="27"/>
        <v>50000</v>
      </c>
      <c r="G53" s="53"/>
      <c r="H53" s="49">
        <f>+F53</f>
        <v>50000</v>
      </c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2"/>
      <c r="T53" s="53">
        <f t="shared" si="29"/>
        <v>50000</v>
      </c>
      <c r="U53" s="53">
        <f t="shared" si="30"/>
        <v>50000</v>
      </c>
      <c r="V53" s="53">
        <f t="shared" si="28"/>
        <v>50000</v>
      </c>
      <c r="W53" s="53">
        <f t="shared" si="28"/>
        <v>50000</v>
      </c>
      <c r="X53" s="53">
        <f t="shared" si="28"/>
        <v>50000</v>
      </c>
      <c r="Y53" s="53">
        <f t="shared" si="26"/>
        <v>250000</v>
      </c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77"/>
      <c r="B54" s="92" t="s">
        <v>117</v>
      </c>
      <c r="C54" s="134">
        <v>1</v>
      </c>
      <c r="D54" s="47" t="s">
        <v>55</v>
      </c>
      <c r="E54" s="148">
        <v>50000</v>
      </c>
      <c r="F54" s="52">
        <f t="shared" si="27"/>
        <v>50000</v>
      </c>
      <c r="G54" s="53"/>
      <c r="H54" s="49">
        <f>+F54</f>
        <v>50000</v>
      </c>
      <c r="I54" s="51">
        <f>+H54</f>
        <v>50000</v>
      </c>
      <c r="J54" s="51">
        <f t="shared" ref="J54:S54" si="31">+I54</f>
        <v>50000</v>
      </c>
      <c r="K54" s="51">
        <f t="shared" si="31"/>
        <v>50000</v>
      </c>
      <c r="L54" s="51">
        <f t="shared" si="31"/>
        <v>50000</v>
      </c>
      <c r="M54" s="51">
        <f t="shared" si="31"/>
        <v>50000</v>
      </c>
      <c r="N54" s="51">
        <f t="shared" si="31"/>
        <v>50000</v>
      </c>
      <c r="O54" s="51">
        <f t="shared" si="31"/>
        <v>50000</v>
      </c>
      <c r="P54" s="51">
        <f t="shared" si="31"/>
        <v>50000</v>
      </c>
      <c r="Q54" s="51">
        <f t="shared" si="31"/>
        <v>50000</v>
      </c>
      <c r="R54" s="51">
        <f t="shared" si="31"/>
        <v>50000</v>
      </c>
      <c r="S54" s="51">
        <f t="shared" si="31"/>
        <v>50000</v>
      </c>
      <c r="T54" s="53">
        <f t="shared" si="29"/>
        <v>600000</v>
      </c>
      <c r="U54" s="53">
        <f t="shared" si="30"/>
        <v>600000</v>
      </c>
      <c r="V54" s="53">
        <f t="shared" si="28"/>
        <v>600000</v>
      </c>
      <c r="W54" s="53">
        <f t="shared" si="28"/>
        <v>600000</v>
      </c>
      <c r="X54" s="53">
        <f t="shared" si="28"/>
        <v>600000</v>
      </c>
      <c r="Y54" s="53">
        <f t="shared" si="26"/>
        <v>3000000</v>
      </c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x14ac:dyDescent="0.25">
      <c r="A55" s="77"/>
      <c r="B55" s="92" t="s">
        <v>63</v>
      </c>
      <c r="C55" s="134">
        <v>0</v>
      </c>
      <c r="D55" s="47" t="s">
        <v>52</v>
      </c>
      <c r="E55" s="148">
        <v>0</v>
      </c>
      <c r="F55" s="52">
        <f t="shared" si="27"/>
        <v>0</v>
      </c>
      <c r="G55" s="53"/>
      <c r="H55" s="49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2"/>
      <c r="T55" s="53">
        <f t="shared" si="29"/>
        <v>0</v>
      </c>
      <c r="U55" s="53">
        <f t="shared" si="30"/>
        <v>0</v>
      </c>
      <c r="V55" s="53">
        <f t="shared" si="28"/>
        <v>0</v>
      </c>
      <c r="W55" s="53">
        <f t="shared" si="28"/>
        <v>0</v>
      </c>
      <c r="X55" s="53">
        <f t="shared" si="28"/>
        <v>0</v>
      </c>
      <c r="Y55" s="53">
        <f t="shared" si="26"/>
        <v>0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x14ac:dyDescent="0.25">
      <c r="A56" s="84"/>
      <c r="B56" s="86" t="s">
        <v>143</v>
      </c>
      <c r="C56" s="28"/>
      <c r="D56" s="28"/>
      <c r="E56" s="28"/>
      <c r="F56" s="29"/>
      <c r="G56" s="33"/>
      <c r="H56" s="2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27"/>
      <c r="U56" s="33"/>
      <c r="V56" s="28"/>
      <c r="W56" s="33"/>
      <c r="X56" s="27"/>
      <c r="Y56" s="33"/>
    </row>
    <row r="57" spans="1:40" x14ac:dyDescent="0.25">
      <c r="A57" s="84"/>
      <c r="B57" s="92" t="s">
        <v>138</v>
      </c>
      <c r="C57" s="131">
        <v>1</v>
      </c>
      <c r="D57" s="28" t="s">
        <v>40</v>
      </c>
      <c r="E57" s="28">
        <f>0.2*C4/12*C9</f>
        <v>179562500</v>
      </c>
      <c r="F57" s="29">
        <f>+E57*C57</f>
        <v>179562500</v>
      </c>
      <c r="G57" s="33"/>
      <c r="H57" s="27">
        <f>+F57</f>
        <v>179562500</v>
      </c>
      <c r="I57" s="28">
        <f t="shared" ref="I57:S57" si="32">+H57</f>
        <v>179562500</v>
      </c>
      <c r="J57" s="28">
        <f t="shared" si="32"/>
        <v>179562500</v>
      </c>
      <c r="K57" s="28">
        <f t="shared" si="32"/>
        <v>179562500</v>
      </c>
      <c r="L57" s="28">
        <f t="shared" si="32"/>
        <v>179562500</v>
      </c>
      <c r="M57" s="28">
        <f t="shared" si="32"/>
        <v>179562500</v>
      </c>
      <c r="N57" s="28">
        <f t="shared" si="32"/>
        <v>179562500</v>
      </c>
      <c r="O57" s="28">
        <f t="shared" si="32"/>
        <v>179562500</v>
      </c>
      <c r="P57" s="28">
        <f t="shared" si="32"/>
        <v>179562500</v>
      </c>
      <c r="Q57" s="28">
        <f t="shared" si="32"/>
        <v>179562500</v>
      </c>
      <c r="R57" s="28">
        <f t="shared" si="32"/>
        <v>179562500</v>
      </c>
      <c r="S57" s="29">
        <f t="shared" si="32"/>
        <v>179562500</v>
      </c>
      <c r="T57" s="53">
        <f>+G57+SUM(H57:S57)</f>
        <v>2154750000</v>
      </c>
      <c r="U57" s="53">
        <f>+SUM(H57:S57)</f>
        <v>2154750000</v>
      </c>
      <c r="V57" s="28">
        <f>+U57</f>
        <v>2154750000</v>
      </c>
      <c r="W57" s="33">
        <f>+V57</f>
        <v>2154750000</v>
      </c>
      <c r="X57" s="27">
        <f>+W57</f>
        <v>2154750000</v>
      </c>
      <c r="Y57" s="33">
        <f>SUM(T57:X57)</f>
        <v>10773750000</v>
      </c>
    </row>
    <row r="58" spans="1:40" x14ac:dyDescent="0.25">
      <c r="A58" s="84"/>
      <c r="B58" s="86" t="s">
        <v>144</v>
      </c>
      <c r="C58" s="28"/>
      <c r="D58" s="28"/>
      <c r="E58" s="28"/>
      <c r="F58" s="29"/>
      <c r="G58" s="33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9"/>
      <c r="T58" s="27"/>
      <c r="U58" s="33"/>
      <c r="V58" s="28"/>
      <c r="W58" s="33"/>
      <c r="X58" s="27"/>
      <c r="Y58" s="33"/>
    </row>
    <row r="59" spans="1:40" x14ac:dyDescent="0.25">
      <c r="A59" s="84"/>
      <c r="B59" s="92" t="s">
        <v>139</v>
      </c>
      <c r="C59" s="131">
        <v>1</v>
      </c>
      <c r="D59" s="28" t="s">
        <v>40</v>
      </c>
      <c r="E59" s="28">
        <f>C4*0.17/2/12*C9</f>
        <v>76314062.5</v>
      </c>
      <c r="F59" s="29">
        <f>+E59*C59</f>
        <v>76314062.5</v>
      </c>
      <c r="G59" s="33"/>
      <c r="H59" s="27">
        <f>+F59</f>
        <v>76314062.5</v>
      </c>
      <c r="I59" s="28">
        <f t="shared" ref="I59:S59" si="33">+H59</f>
        <v>76314062.5</v>
      </c>
      <c r="J59" s="28">
        <f t="shared" si="33"/>
        <v>76314062.5</v>
      </c>
      <c r="K59" s="28">
        <f t="shared" si="33"/>
        <v>76314062.5</v>
      </c>
      <c r="L59" s="28">
        <f t="shared" si="33"/>
        <v>76314062.5</v>
      </c>
      <c r="M59" s="28">
        <f t="shared" si="33"/>
        <v>76314062.5</v>
      </c>
      <c r="N59" s="28">
        <f t="shared" si="33"/>
        <v>76314062.5</v>
      </c>
      <c r="O59" s="28">
        <f t="shared" si="33"/>
        <v>76314062.5</v>
      </c>
      <c r="P59" s="28">
        <f t="shared" si="33"/>
        <v>76314062.5</v>
      </c>
      <c r="Q59" s="28">
        <f t="shared" si="33"/>
        <v>76314062.5</v>
      </c>
      <c r="R59" s="28">
        <f t="shared" si="33"/>
        <v>76314062.5</v>
      </c>
      <c r="S59" s="29">
        <f t="shared" si="33"/>
        <v>76314062.5</v>
      </c>
      <c r="T59" s="53">
        <f>+G59+SUM(H59:S59)</f>
        <v>915768750</v>
      </c>
      <c r="U59" s="53">
        <f>+SUM(H59:S59)</f>
        <v>915768750</v>
      </c>
      <c r="V59" s="28">
        <v>0</v>
      </c>
      <c r="W59" s="33">
        <v>0</v>
      </c>
      <c r="X59" s="27">
        <v>0</v>
      </c>
      <c r="Y59" s="33">
        <f>SUM(T59:X59)</f>
        <v>1831537500</v>
      </c>
    </row>
    <row r="60" spans="1:40" x14ac:dyDescent="0.25">
      <c r="A60" s="84"/>
      <c r="B60" s="86" t="s">
        <v>145</v>
      </c>
      <c r="C60" s="28"/>
      <c r="D60" s="28"/>
      <c r="E60" s="28"/>
      <c r="F60" s="29"/>
      <c r="G60" s="33"/>
      <c r="H60" s="27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7"/>
      <c r="U60" s="33"/>
      <c r="V60" s="28"/>
      <c r="W60" s="33"/>
      <c r="X60" s="27"/>
      <c r="Y60" s="33"/>
    </row>
    <row r="61" spans="1:40" x14ac:dyDescent="0.25">
      <c r="A61" s="77"/>
      <c r="B61" s="93" t="s">
        <v>118</v>
      </c>
      <c r="C61" s="139">
        <v>0</v>
      </c>
      <c r="D61" s="63" t="s">
        <v>40</v>
      </c>
      <c r="E61" s="64">
        <f>SUM(E62:E68)</f>
        <v>4471222.666666666</v>
      </c>
      <c r="F61" s="65">
        <f>+E61*C61</f>
        <v>0</v>
      </c>
      <c r="G61" s="53"/>
      <c r="H61" s="50">
        <f>+F61</f>
        <v>0</v>
      </c>
      <c r="I61" s="55">
        <f t="shared" ref="I61:S61" si="34">+H61</f>
        <v>0</v>
      </c>
      <c r="J61" s="55">
        <f t="shared" si="34"/>
        <v>0</v>
      </c>
      <c r="K61" s="55">
        <f t="shared" si="34"/>
        <v>0</v>
      </c>
      <c r="L61" s="55">
        <f t="shared" si="34"/>
        <v>0</v>
      </c>
      <c r="M61" s="55">
        <f t="shared" si="34"/>
        <v>0</v>
      </c>
      <c r="N61" s="55">
        <f t="shared" si="34"/>
        <v>0</v>
      </c>
      <c r="O61" s="55">
        <f t="shared" si="34"/>
        <v>0</v>
      </c>
      <c r="P61" s="55">
        <f t="shared" si="34"/>
        <v>0</v>
      </c>
      <c r="Q61" s="55">
        <f t="shared" si="34"/>
        <v>0</v>
      </c>
      <c r="R61" s="55">
        <f t="shared" si="34"/>
        <v>0</v>
      </c>
      <c r="S61" s="56">
        <f t="shared" si="34"/>
        <v>0</v>
      </c>
      <c r="T61" s="53">
        <f>+G61+SUM(H61:S61)</f>
        <v>0</v>
      </c>
      <c r="U61" s="53">
        <f>+SUM(H61:S61)</f>
        <v>0</v>
      </c>
      <c r="V61" s="55">
        <f>+U61</f>
        <v>0</v>
      </c>
      <c r="W61" s="57">
        <f>+V61</f>
        <v>0</v>
      </c>
      <c r="X61" s="50">
        <f>+W61</f>
        <v>0</v>
      </c>
      <c r="Y61" s="57">
        <f>SUM(T61:X61)</f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x14ac:dyDescent="0.25">
      <c r="A62" s="84"/>
      <c r="B62" s="94" t="s">
        <v>126</v>
      </c>
      <c r="C62" s="138">
        <v>1</v>
      </c>
      <c r="D62" s="48" t="s">
        <v>40</v>
      </c>
      <c r="E62" s="137">
        <v>3500000</v>
      </c>
      <c r="F62" s="52"/>
      <c r="G62" s="57"/>
      <c r="H62" s="50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6"/>
      <c r="T62" s="50"/>
      <c r="U62" s="57"/>
      <c r="V62" s="55"/>
      <c r="W62" s="57"/>
      <c r="X62" s="50"/>
      <c r="Y62" s="57"/>
    </row>
    <row r="63" spans="1:40" x14ac:dyDescent="0.25">
      <c r="A63" s="84"/>
      <c r="B63" s="94" t="s">
        <v>127</v>
      </c>
      <c r="C63" s="138">
        <v>1</v>
      </c>
      <c r="D63" s="48" t="s">
        <v>40</v>
      </c>
      <c r="E63" s="51">
        <f>+E62/12</f>
        <v>291666.66666666669</v>
      </c>
      <c r="F63" s="52"/>
      <c r="G63" s="57"/>
      <c r="H63" s="50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6"/>
      <c r="T63" s="50"/>
      <c r="U63" s="57"/>
      <c r="V63" s="55"/>
      <c r="W63" s="57"/>
      <c r="X63" s="50"/>
      <c r="Y63" s="57"/>
    </row>
    <row r="64" spans="1:40" x14ac:dyDescent="0.25">
      <c r="A64" s="84"/>
      <c r="B64" s="94" t="s">
        <v>134</v>
      </c>
      <c r="C64" s="138">
        <v>1</v>
      </c>
      <c r="D64" s="48" t="s">
        <v>40</v>
      </c>
      <c r="E64" s="127">
        <v>102056</v>
      </c>
      <c r="F64" s="56"/>
      <c r="G64" s="57"/>
      <c r="H64" s="50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6"/>
      <c r="T64" s="50"/>
      <c r="U64" s="57"/>
      <c r="V64" s="55"/>
      <c r="W64" s="57"/>
      <c r="X64" s="50"/>
      <c r="Y64" s="57"/>
    </row>
    <row r="65" spans="1:40" x14ac:dyDescent="0.25">
      <c r="A65" s="84"/>
      <c r="B65" s="94" t="s">
        <v>130</v>
      </c>
      <c r="C65" s="138">
        <v>1</v>
      </c>
      <c r="D65" s="48" t="s">
        <v>40</v>
      </c>
      <c r="E65" s="127">
        <v>0</v>
      </c>
      <c r="F65" s="56"/>
      <c r="G65" s="57"/>
      <c r="H65" s="50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6"/>
      <c r="T65" s="50"/>
      <c r="U65" s="57"/>
      <c r="V65" s="55"/>
      <c r="W65" s="57"/>
      <c r="X65" s="50"/>
      <c r="Y65" s="57"/>
    </row>
    <row r="66" spans="1:40" x14ac:dyDescent="0.25">
      <c r="A66" s="84"/>
      <c r="B66" s="94" t="s">
        <v>131</v>
      </c>
      <c r="C66" s="138">
        <v>1</v>
      </c>
      <c r="D66" s="48" t="s">
        <v>40</v>
      </c>
      <c r="E66" s="127">
        <v>0</v>
      </c>
      <c r="F66" s="56"/>
      <c r="G66" s="57"/>
      <c r="H66" s="50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6"/>
      <c r="T66" s="50"/>
      <c r="U66" s="57"/>
      <c r="V66" s="55"/>
      <c r="W66" s="57"/>
      <c r="X66" s="50"/>
      <c r="Y66" s="57"/>
    </row>
    <row r="67" spans="1:40" x14ac:dyDescent="0.25">
      <c r="A67" s="84"/>
      <c r="B67" s="94" t="s">
        <v>132</v>
      </c>
      <c r="C67" s="138">
        <v>1</v>
      </c>
      <c r="D67" s="48" t="s">
        <v>40</v>
      </c>
      <c r="E67" s="127">
        <v>0</v>
      </c>
      <c r="F67" s="56"/>
      <c r="G67" s="57"/>
      <c r="H67" s="50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6"/>
      <c r="T67" s="50"/>
      <c r="U67" s="57"/>
      <c r="V67" s="55"/>
      <c r="W67" s="57"/>
      <c r="X67" s="50"/>
      <c r="Y67" s="57"/>
    </row>
    <row r="68" spans="1:40" x14ac:dyDescent="0.25">
      <c r="A68" s="84"/>
      <c r="B68" s="94" t="s">
        <v>128</v>
      </c>
      <c r="C68" s="138">
        <v>1</v>
      </c>
      <c r="D68" s="48" t="s">
        <v>40</v>
      </c>
      <c r="E68" s="51">
        <f>0.165*E62</f>
        <v>577500</v>
      </c>
      <c r="F68" s="56"/>
      <c r="G68" s="57"/>
      <c r="H68" s="50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6"/>
      <c r="T68" s="50"/>
      <c r="U68" s="57"/>
      <c r="V68" s="55"/>
      <c r="W68" s="57"/>
      <c r="X68" s="50"/>
      <c r="Y68" s="57"/>
    </row>
    <row r="69" spans="1:40" x14ac:dyDescent="0.25">
      <c r="A69" s="77"/>
      <c r="B69" s="93" t="s">
        <v>129</v>
      </c>
      <c r="C69" s="140">
        <v>0.5</v>
      </c>
      <c r="D69" s="63" t="s">
        <v>40</v>
      </c>
      <c r="E69" s="64">
        <f>SUM(E70:E76)</f>
        <v>3222889.3333333335</v>
      </c>
      <c r="F69" s="65">
        <f>+E69*C69</f>
        <v>1611444.6666666667</v>
      </c>
      <c r="G69" s="53"/>
      <c r="H69" s="50">
        <f>+F69</f>
        <v>1611444.6666666667</v>
      </c>
      <c r="I69" s="55">
        <f t="shared" ref="I69:S69" si="35">+H69</f>
        <v>1611444.6666666667</v>
      </c>
      <c r="J69" s="55">
        <f t="shared" si="35"/>
        <v>1611444.6666666667</v>
      </c>
      <c r="K69" s="55">
        <f t="shared" si="35"/>
        <v>1611444.6666666667</v>
      </c>
      <c r="L69" s="55">
        <f t="shared" si="35"/>
        <v>1611444.6666666667</v>
      </c>
      <c r="M69" s="55">
        <f t="shared" si="35"/>
        <v>1611444.6666666667</v>
      </c>
      <c r="N69" s="55">
        <f t="shared" si="35"/>
        <v>1611444.6666666667</v>
      </c>
      <c r="O69" s="55">
        <f t="shared" si="35"/>
        <v>1611444.6666666667</v>
      </c>
      <c r="P69" s="55">
        <f t="shared" si="35"/>
        <v>1611444.6666666667</v>
      </c>
      <c r="Q69" s="55">
        <f t="shared" si="35"/>
        <v>1611444.6666666667</v>
      </c>
      <c r="R69" s="55">
        <f t="shared" si="35"/>
        <v>1611444.6666666667</v>
      </c>
      <c r="S69" s="56">
        <f t="shared" si="35"/>
        <v>1611444.6666666667</v>
      </c>
      <c r="T69" s="53">
        <f>+G69+SUM(H69:S69)</f>
        <v>19337336</v>
      </c>
      <c r="U69" s="53">
        <f>+SUM(H69:S69)</f>
        <v>19337336</v>
      </c>
      <c r="V69" s="55">
        <f>+U69</f>
        <v>19337336</v>
      </c>
      <c r="W69" s="57">
        <f>+V69</f>
        <v>19337336</v>
      </c>
      <c r="X69" s="50">
        <f>+W69</f>
        <v>19337336</v>
      </c>
      <c r="Y69" s="57">
        <f>SUM(T69:X69)</f>
        <v>96686680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5">
      <c r="A70" s="84"/>
      <c r="B70" s="102" t="s">
        <v>126</v>
      </c>
      <c r="C70" s="138">
        <v>1</v>
      </c>
      <c r="D70" s="48" t="s">
        <v>40</v>
      </c>
      <c r="E70" s="137">
        <v>2500000</v>
      </c>
      <c r="F70" s="52"/>
      <c r="G70" s="57"/>
      <c r="H70" s="50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6"/>
      <c r="T70" s="50"/>
      <c r="U70" s="57"/>
      <c r="V70" s="55"/>
      <c r="W70" s="57"/>
      <c r="X70" s="50"/>
      <c r="Y70" s="57"/>
    </row>
    <row r="71" spans="1:40" x14ac:dyDescent="0.25">
      <c r="A71" s="84"/>
      <c r="B71" s="94" t="s">
        <v>127</v>
      </c>
      <c r="C71" s="138">
        <v>1</v>
      </c>
      <c r="D71" s="48" t="s">
        <v>40</v>
      </c>
      <c r="E71" s="51">
        <f>+E70/12</f>
        <v>208333.33333333334</v>
      </c>
      <c r="F71" s="52"/>
      <c r="G71" s="57"/>
      <c r="H71" s="50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6"/>
      <c r="T71" s="50"/>
      <c r="U71" s="57"/>
      <c r="V71" s="55"/>
      <c r="W71" s="57"/>
      <c r="X71" s="50"/>
      <c r="Y71" s="57"/>
    </row>
    <row r="72" spans="1:40" x14ac:dyDescent="0.25">
      <c r="A72" s="84"/>
      <c r="B72" s="94" t="s">
        <v>134</v>
      </c>
      <c r="C72" s="138">
        <v>1</v>
      </c>
      <c r="D72" s="48" t="s">
        <v>40</v>
      </c>
      <c r="E72" s="127">
        <v>102056</v>
      </c>
      <c r="F72" s="56"/>
      <c r="G72" s="57"/>
      <c r="H72" s="50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6"/>
      <c r="T72" s="50"/>
      <c r="U72" s="57"/>
      <c r="V72" s="55"/>
      <c r="W72" s="57"/>
      <c r="X72" s="50"/>
      <c r="Y72" s="57"/>
    </row>
    <row r="73" spans="1:40" x14ac:dyDescent="0.25">
      <c r="A73" s="84"/>
      <c r="B73" s="94" t="s">
        <v>130</v>
      </c>
      <c r="C73" s="138">
        <v>1</v>
      </c>
      <c r="D73" s="48" t="s">
        <v>40</v>
      </c>
      <c r="E73" s="127">
        <v>0</v>
      </c>
      <c r="F73" s="56"/>
      <c r="G73" s="57"/>
      <c r="H73" s="50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/>
      <c r="T73" s="50"/>
      <c r="U73" s="57"/>
      <c r="V73" s="55"/>
      <c r="W73" s="57"/>
      <c r="X73" s="50"/>
      <c r="Y73" s="57"/>
    </row>
    <row r="74" spans="1:40" x14ac:dyDescent="0.25">
      <c r="A74" s="84"/>
      <c r="B74" s="94" t="s">
        <v>131</v>
      </c>
      <c r="C74" s="138">
        <v>1</v>
      </c>
      <c r="D74" s="48" t="s">
        <v>40</v>
      </c>
      <c r="E74" s="127">
        <v>0</v>
      </c>
      <c r="F74" s="56"/>
      <c r="G74" s="57"/>
      <c r="H74" s="50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6"/>
      <c r="T74" s="50"/>
      <c r="U74" s="57"/>
      <c r="V74" s="55"/>
      <c r="W74" s="57"/>
      <c r="X74" s="50"/>
      <c r="Y74" s="57"/>
    </row>
    <row r="75" spans="1:40" x14ac:dyDescent="0.25">
      <c r="A75" s="84"/>
      <c r="B75" s="94" t="s">
        <v>132</v>
      </c>
      <c r="C75" s="138">
        <v>1</v>
      </c>
      <c r="D75" s="48" t="s">
        <v>40</v>
      </c>
      <c r="E75" s="127">
        <v>0</v>
      </c>
      <c r="F75" s="56"/>
      <c r="G75" s="57"/>
      <c r="H75" s="50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50"/>
      <c r="U75" s="57"/>
      <c r="V75" s="55"/>
      <c r="W75" s="57"/>
      <c r="X75" s="50"/>
      <c r="Y75" s="57"/>
    </row>
    <row r="76" spans="1:40" x14ac:dyDescent="0.25">
      <c r="A76" s="84"/>
      <c r="B76" s="94" t="s">
        <v>128</v>
      </c>
      <c r="C76" s="138">
        <v>1</v>
      </c>
      <c r="D76" s="48" t="s">
        <v>40</v>
      </c>
      <c r="E76" s="51">
        <f>0.165*E70</f>
        <v>412500</v>
      </c>
      <c r="F76" s="52"/>
      <c r="G76" s="57"/>
      <c r="H76" s="50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6"/>
      <c r="T76" s="50"/>
      <c r="U76" s="57"/>
      <c r="V76" s="55"/>
      <c r="W76" s="57"/>
      <c r="X76" s="50"/>
      <c r="Y76" s="57"/>
    </row>
    <row r="77" spans="1:40" x14ac:dyDescent="0.25">
      <c r="A77" s="77"/>
      <c r="B77" s="93" t="s">
        <v>125</v>
      </c>
      <c r="C77" s="139">
        <v>1</v>
      </c>
      <c r="D77" s="63" t="s">
        <v>40</v>
      </c>
      <c r="E77" s="64">
        <f>SUM(E78:E84)</f>
        <v>2650057.8783333334</v>
      </c>
      <c r="F77" s="65">
        <f>+E77*C77</f>
        <v>2650057.8783333334</v>
      </c>
      <c r="G77" s="53"/>
      <c r="H77" s="50">
        <f>+F77</f>
        <v>2650057.8783333334</v>
      </c>
      <c r="I77" s="55">
        <f t="shared" ref="I77:S77" si="36">+H77</f>
        <v>2650057.8783333334</v>
      </c>
      <c r="J77" s="55">
        <f t="shared" si="36"/>
        <v>2650057.8783333334</v>
      </c>
      <c r="K77" s="55">
        <f t="shared" si="36"/>
        <v>2650057.8783333334</v>
      </c>
      <c r="L77" s="55">
        <f t="shared" si="36"/>
        <v>2650057.8783333334</v>
      </c>
      <c r="M77" s="55">
        <f t="shared" si="36"/>
        <v>2650057.8783333334</v>
      </c>
      <c r="N77" s="55">
        <f t="shared" si="36"/>
        <v>2650057.8783333334</v>
      </c>
      <c r="O77" s="55">
        <f t="shared" si="36"/>
        <v>2650057.8783333334</v>
      </c>
      <c r="P77" s="55">
        <f t="shared" si="36"/>
        <v>2650057.8783333334</v>
      </c>
      <c r="Q77" s="55">
        <f t="shared" si="36"/>
        <v>2650057.8783333334</v>
      </c>
      <c r="R77" s="55">
        <f t="shared" si="36"/>
        <v>2650057.8783333334</v>
      </c>
      <c r="S77" s="56">
        <f t="shared" si="36"/>
        <v>2650057.8783333334</v>
      </c>
      <c r="T77" s="53">
        <f>+G77+SUM(H77:S77)</f>
        <v>31800694.540000003</v>
      </c>
      <c r="U77" s="53">
        <f>+SUM(H77:S77)</f>
        <v>31800694.540000003</v>
      </c>
      <c r="V77" s="55">
        <f>+U77</f>
        <v>31800694.540000003</v>
      </c>
      <c r="W77" s="57">
        <f>+V77</f>
        <v>31800694.540000003</v>
      </c>
      <c r="X77" s="50">
        <f>+W77</f>
        <v>31800694.540000003</v>
      </c>
      <c r="Y77" s="57">
        <f>SUM(T77:X77)</f>
        <v>159003472.70000002</v>
      </c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84"/>
      <c r="B78" s="94" t="s">
        <v>126</v>
      </c>
      <c r="C78" s="138">
        <v>1</v>
      </c>
      <c r="D78" s="48" t="s">
        <v>40</v>
      </c>
      <c r="E78" s="127">
        <v>2041123</v>
      </c>
      <c r="F78" s="52"/>
      <c r="G78" s="57"/>
      <c r="H78" s="50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6"/>
      <c r="T78" s="50"/>
      <c r="U78" s="57"/>
      <c r="V78" s="55"/>
      <c r="W78" s="57"/>
      <c r="X78" s="50"/>
      <c r="Y78" s="57"/>
    </row>
    <row r="79" spans="1:40" x14ac:dyDescent="0.25">
      <c r="A79" s="84"/>
      <c r="B79" s="94" t="s">
        <v>127</v>
      </c>
      <c r="C79" s="138">
        <v>1</v>
      </c>
      <c r="D79" s="48" t="s">
        <v>40</v>
      </c>
      <c r="E79" s="51">
        <f>+E78/12</f>
        <v>170093.58333333334</v>
      </c>
      <c r="F79" s="52"/>
      <c r="G79" s="57"/>
      <c r="H79" s="50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6"/>
      <c r="T79" s="50"/>
      <c r="U79" s="57"/>
      <c r="V79" s="55"/>
      <c r="W79" s="57"/>
      <c r="X79" s="50"/>
      <c r="Y79" s="57"/>
    </row>
    <row r="80" spans="1:40" x14ac:dyDescent="0.25">
      <c r="A80" s="84"/>
      <c r="B80" s="94" t="s">
        <v>134</v>
      </c>
      <c r="C80" s="138">
        <v>1</v>
      </c>
      <c r="D80" s="48" t="s">
        <v>40</v>
      </c>
      <c r="E80" s="127">
        <v>102056</v>
      </c>
      <c r="F80" s="56"/>
      <c r="G80" s="57"/>
      <c r="H80" s="50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6"/>
      <c r="T80" s="50"/>
      <c r="U80" s="57"/>
      <c r="V80" s="55"/>
      <c r="W80" s="57"/>
      <c r="X80" s="50"/>
      <c r="Y80" s="57"/>
    </row>
    <row r="81" spans="1:40" x14ac:dyDescent="0.25">
      <c r="A81" s="84"/>
      <c r="B81" s="94" t="s">
        <v>130</v>
      </c>
      <c r="C81" s="138">
        <v>1</v>
      </c>
      <c r="D81" s="48" t="s">
        <v>40</v>
      </c>
      <c r="E81" s="127">
        <v>0</v>
      </c>
      <c r="F81" s="56"/>
      <c r="G81" s="57"/>
      <c r="H81" s="50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6"/>
      <c r="T81" s="50"/>
      <c r="U81" s="57"/>
      <c r="V81" s="55"/>
      <c r="W81" s="57"/>
      <c r="X81" s="50"/>
      <c r="Y81" s="57"/>
    </row>
    <row r="82" spans="1:40" x14ac:dyDescent="0.25">
      <c r="A82" s="84"/>
      <c r="B82" s="94" t="s">
        <v>131</v>
      </c>
      <c r="C82" s="138">
        <v>1</v>
      </c>
      <c r="D82" s="48" t="s">
        <v>40</v>
      </c>
      <c r="E82" s="127">
        <v>0</v>
      </c>
      <c r="F82" s="56"/>
      <c r="G82" s="57"/>
      <c r="H82" s="50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  <c r="T82" s="50"/>
      <c r="U82" s="57"/>
      <c r="V82" s="55"/>
      <c r="W82" s="57"/>
      <c r="X82" s="50"/>
      <c r="Y82" s="57"/>
    </row>
    <row r="83" spans="1:40" x14ac:dyDescent="0.25">
      <c r="A83" s="84"/>
      <c r="B83" s="94" t="s">
        <v>132</v>
      </c>
      <c r="C83" s="138">
        <v>1</v>
      </c>
      <c r="D83" s="48" t="s">
        <v>40</v>
      </c>
      <c r="E83" s="127">
        <v>0</v>
      </c>
      <c r="F83" s="56"/>
      <c r="G83" s="57"/>
      <c r="H83" s="50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6"/>
      <c r="T83" s="50"/>
      <c r="U83" s="57"/>
      <c r="V83" s="55"/>
      <c r="W83" s="57"/>
      <c r="X83" s="50"/>
      <c r="Y83" s="57"/>
    </row>
    <row r="84" spans="1:40" x14ac:dyDescent="0.25">
      <c r="A84" s="84"/>
      <c r="B84" s="94" t="s">
        <v>128</v>
      </c>
      <c r="C84" s="138">
        <v>1</v>
      </c>
      <c r="D84" s="48" t="s">
        <v>40</v>
      </c>
      <c r="E84" s="51">
        <f>0.165*E78</f>
        <v>336785.29500000004</v>
      </c>
      <c r="F84" s="52"/>
      <c r="G84" s="57"/>
      <c r="H84" s="50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6"/>
      <c r="T84" s="50"/>
      <c r="U84" s="57"/>
      <c r="V84" s="55"/>
      <c r="W84" s="57"/>
      <c r="X84" s="50"/>
      <c r="Y84" s="57"/>
    </row>
    <row r="85" spans="1:40" x14ac:dyDescent="0.25">
      <c r="A85" s="77"/>
      <c r="B85" s="93" t="s">
        <v>305</v>
      </c>
      <c r="C85" s="139">
        <f>+C10</f>
        <v>45</v>
      </c>
      <c r="D85" s="63" t="s">
        <v>40</v>
      </c>
      <c r="E85" s="64">
        <f>SUM(E86:E92)</f>
        <v>2973222.6666666665</v>
      </c>
      <c r="F85" s="65">
        <f>+E85*C85</f>
        <v>133795020</v>
      </c>
      <c r="G85" s="53"/>
      <c r="H85" s="50">
        <f>+F85</f>
        <v>133795020</v>
      </c>
      <c r="I85" s="55">
        <f t="shared" ref="I85:S85" si="37">+H85</f>
        <v>133795020</v>
      </c>
      <c r="J85" s="55">
        <f t="shared" si="37"/>
        <v>133795020</v>
      </c>
      <c r="K85" s="55">
        <f t="shared" si="37"/>
        <v>133795020</v>
      </c>
      <c r="L85" s="55">
        <f t="shared" si="37"/>
        <v>133795020</v>
      </c>
      <c r="M85" s="55">
        <f t="shared" si="37"/>
        <v>133795020</v>
      </c>
      <c r="N85" s="55">
        <f t="shared" si="37"/>
        <v>133795020</v>
      </c>
      <c r="O85" s="55">
        <f t="shared" si="37"/>
        <v>133795020</v>
      </c>
      <c r="P85" s="55">
        <f t="shared" si="37"/>
        <v>133795020</v>
      </c>
      <c r="Q85" s="55">
        <f t="shared" si="37"/>
        <v>133795020</v>
      </c>
      <c r="R85" s="55">
        <f t="shared" si="37"/>
        <v>133795020</v>
      </c>
      <c r="S85" s="56">
        <f t="shared" si="37"/>
        <v>133795020</v>
      </c>
      <c r="T85" s="53">
        <f>+G85+SUM(H85:S85)</f>
        <v>1605540240</v>
      </c>
      <c r="U85" s="53">
        <f>+SUM(H85:S85)</f>
        <v>1605540240</v>
      </c>
      <c r="V85" s="55">
        <f>+U85</f>
        <v>1605540240</v>
      </c>
      <c r="W85" s="57">
        <f>+V85</f>
        <v>1605540240</v>
      </c>
      <c r="X85" s="50">
        <f>+W85</f>
        <v>1605540240</v>
      </c>
      <c r="Y85" s="57">
        <f>SUM(T85:X85)</f>
        <v>8027701200</v>
      </c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25">
      <c r="A86" s="84"/>
      <c r="B86" s="94" t="s">
        <v>126</v>
      </c>
      <c r="C86" s="138">
        <v>1</v>
      </c>
      <c r="D86" s="48" t="s">
        <v>40</v>
      </c>
      <c r="E86" s="127">
        <v>2300000</v>
      </c>
      <c r="F86" s="52"/>
      <c r="G86" s="57"/>
      <c r="H86" s="50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6"/>
      <c r="T86" s="50"/>
      <c r="U86" s="57"/>
      <c r="V86" s="55"/>
      <c r="W86" s="57"/>
      <c r="X86" s="50"/>
      <c r="Y86" s="57"/>
    </row>
    <row r="87" spans="1:40" x14ac:dyDescent="0.25">
      <c r="A87" s="84"/>
      <c r="B87" s="94" t="s">
        <v>127</v>
      </c>
      <c r="C87" s="138">
        <v>1</v>
      </c>
      <c r="D87" s="48" t="s">
        <v>40</v>
      </c>
      <c r="E87" s="51">
        <f>+E86/12</f>
        <v>191666.66666666666</v>
      </c>
      <c r="F87" s="52"/>
      <c r="G87" s="57"/>
      <c r="H87" s="50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6"/>
      <c r="T87" s="50"/>
      <c r="U87" s="57"/>
      <c r="V87" s="55"/>
      <c r="W87" s="57"/>
      <c r="X87" s="50"/>
      <c r="Y87" s="57"/>
    </row>
    <row r="88" spans="1:40" x14ac:dyDescent="0.25">
      <c r="A88" s="84"/>
      <c r="B88" s="94" t="s">
        <v>134</v>
      </c>
      <c r="C88" s="138">
        <v>1</v>
      </c>
      <c r="D88" s="48" t="s">
        <v>40</v>
      </c>
      <c r="E88" s="127">
        <v>102056</v>
      </c>
      <c r="F88" s="56"/>
      <c r="G88" s="57"/>
      <c r="H88" s="50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6"/>
      <c r="T88" s="50"/>
      <c r="U88" s="57"/>
      <c r="V88" s="55"/>
      <c r="W88" s="57"/>
      <c r="X88" s="50"/>
      <c r="Y88" s="57"/>
    </row>
    <row r="89" spans="1:40" x14ac:dyDescent="0.25">
      <c r="A89" s="84"/>
      <c r="B89" s="94" t="s">
        <v>130</v>
      </c>
      <c r="C89" s="138">
        <v>1</v>
      </c>
      <c r="D89" s="48" t="s">
        <v>40</v>
      </c>
      <c r="E89" s="127">
        <v>0</v>
      </c>
      <c r="F89" s="56"/>
      <c r="G89" s="57"/>
      <c r="H89" s="50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6"/>
      <c r="T89" s="50"/>
      <c r="U89" s="57"/>
      <c r="V89" s="55"/>
      <c r="W89" s="57"/>
      <c r="X89" s="50"/>
      <c r="Y89" s="57"/>
    </row>
    <row r="90" spans="1:40" x14ac:dyDescent="0.25">
      <c r="A90" s="84"/>
      <c r="B90" s="94" t="s">
        <v>131</v>
      </c>
      <c r="C90" s="138">
        <v>1</v>
      </c>
      <c r="D90" s="48" t="s">
        <v>40</v>
      </c>
      <c r="E90" s="127">
        <v>0</v>
      </c>
      <c r="F90" s="56"/>
      <c r="G90" s="57"/>
      <c r="H90" s="50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6"/>
      <c r="T90" s="50"/>
      <c r="U90" s="57"/>
      <c r="V90" s="55"/>
      <c r="W90" s="57"/>
      <c r="X90" s="50"/>
      <c r="Y90" s="57"/>
    </row>
    <row r="91" spans="1:40" x14ac:dyDescent="0.25">
      <c r="A91" s="84"/>
      <c r="B91" s="94" t="s">
        <v>132</v>
      </c>
      <c r="C91" s="138">
        <v>1</v>
      </c>
      <c r="D91" s="48" t="s">
        <v>40</v>
      </c>
      <c r="E91" s="127">
        <v>0</v>
      </c>
      <c r="F91" s="56"/>
      <c r="G91" s="57"/>
      <c r="H91" s="50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6"/>
      <c r="T91" s="50"/>
      <c r="U91" s="57"/>
      <c r="V91" s="55"/>
      <c r="W91" s="57"/>
      <c r="X91" s="50"/>
      <c r="Y91" s="57"/>
    </row>
    <row r="92" spans="1:40" x14ac:dyDescent="0.25">
      <c r="A92" s="84"/>
      <c r="B92" s="94" t="s">
        <v>128</v>
      </c>
      <c r="C92" s="138">
        <v>1</v>
      </c>
      <c r="D92" s="48" t="s">
        <v>40</v>
      </c>
      <c r="E92" s="51">
        <f>0.165*E86</f>
        <v>379500</v>
      </c>
      <c r="F92" s="52"/>
      <c r="G92" s="57"/>
      <c r="H92" s="50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6"/>
      <c r="T92" s="50"/>
      <c r="U92" s="57"/>
      <c r="V92" s="55"/>
      <c r="W92" s="57"/>
      <c r="X92" s="50"/>
      <c r="Y92" s="57"/>
    </row>
    <row r="93" spans="1:40" x14ac:dyDescent="0.25">
      <c r="A93" s="77"/>
      <c r="B93" s="93" t="s">
        <v>119</v>
      </c>
      <c r="C93" s="139">
        <f>+C11*C9*(C6/6)</f>
        <v>90</v>
      </c>
      <c r="D93" s="63" t="s">
        <v>40</v>
      </c>
      <c r="E93" s="64">
        <f>SUM(E94:E100)</f>
        <v>2839450.0183333335</v>
      </c>
      <c r="F93" s="65">
        <f>+E93*C93</f>
        <v>255550501.65000001</v>
      </c>
      <c r="G93" s="70"/>
      <c r="H93" s="50">
        <f>+F93</f>
        <v>255550501.65000001</v>
      </c>
      <c r="I93" s="55">
        <f t="shared" ref="I93:S93" si="38">+H93</f>
        <v>255550501.65000001</v>
      </c>
      <c r="J93" s="55">
        <f t="shared" si="38"/>
        <v>255550501.65000001</v>
      </c>
      <c r="K93" s="55">
        <f t="shared" si="38"/>
        <v>255550501.65000001</v>
      </c>
      <c r="L93" s="55">
        <f t="shared" si="38"/>
        <v>255550501.65000001</v>
      </c>
      <c r="M93" s="55">
        <f t="shared" si="38"/>
        <v>255550501.65000001</v>
      </c>
      <c r="N93" s="55">
        <f t="shared" si="38"/>
        <v>255550501.65000001</v>
      </c>
      <c r="O93" s="55">
        <f t="shared" si="38"/>
        <v>255550501.65000001</v>
      </c>
      <c r="P93" s="55">
        <f t="shared" si="38"/>
        <v>255550501.65000001</v>
      </c>
      <c r="Q93" s="55">
        <f t="shared" si="38"/>
        <v>255550501.65000001</v>
      </c>
      <c r="R93" s="55">
        <f t="shared" si="38"/>
        <v>255550501.65000001</v>
      </c>
      <c r="S93" s="56">
        <f t="shared" si="38"/>
        <v>255550501.65000001</v>
      </c>
      <c r="T93" s="53">
        <f>+G93+SUM(H93:S93)</f>
        <v>3066606019.8000007</v>
      </c>
      <c r="U93" s="53">
        <f>+SUM(H93:S93)</f>
        <v>3066606019.8000007</v>
      </c>
      <c r="V93" s="55">
        <f>+U93</f>
        <v>3066606019.8000007</v>
      </c>
      <c r="W93" s="57">
        <f>+V93</f>
        <v>3066606019.8000007</v>
      </c>
      <c r="X93" s="50">
        <f>+W93</f>
        <v>3066606019.8000007</v>
      </c>
      <c r="Y93" s="57">
        <f>SUM(T93:X93)</f>
        <v>15333030099.000004</v>
      </c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25">
      <c r="A94" s="84"/>
      <c r="B94" s="94" t="s">
        <v>126</v>
      </c>
      <c r="C94" s="138">
        <v>1</v>
      </c>
      <c r="D94" s="48" t="s">
        <v>40</v>
      </c>
      <c r="E94" s="127">
        <v>2192839</v>
      </c>
      <c r="F94" s="52"/>
      <c r="G94" s="57"/>
      <c r="H94" s="50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6"/>
      <c r="T94" s="50"/>
      <c r="U94" s="57"/>
      <c r="V94" s="55"/>
      <c r="W94" s="57"/>
      <c r="X94" s="50"/>
      <c r="Y94" s="57"/>
    </row>
    <row r="95" spans="1:40" x14ac:dyDescent="0.25">
      <c r="A95" s="84"/>
      <c r="B95" s="94" t="s">
        <v>127</v>
      </c>
      <c r="C95" s="138">
        <v>1</v>
      </c>
      <c r="D95" s="48" t="s">
        <v>40</v>
      </c>
      <c r="E95" s="51">
        <f>+E94/12</f>
        <v>182736.58333333334</v>
      </c>
      <c r="F95" s="52"/>
      <c r="G95" s="57"/>
      <c r="H95" s="50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6"/>
      <c r="T95" s="50"/>
      <c r="U95" s="57"/>
      <c r="V95" s="55"/>
      <c r="W95" s="57"/>
      <c r="X95" s="50"/>
      <c r="Y95" s="57"/>
    </row>
    <row r="96" spans="1:40" x14ac:dyDescent="0.25">
      <c r="A96" s="84"/>
      <c r="B96" s="94" t="s">
        <v>134</v>
      </c>
      <c r="C96" s="138">
        <v>1</v>
      </c>
      <c r="D96" s="48" t="s">
        <v>40</v>
      </c>
      <c r="E96" s="127">
        <v>102056</v>
      </c>
      <c r="F96" s="56"/>
      <c r="G96" s="57"/>
      <c r="H96" s="50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6"/>
      <c r="T96" s="50"/>
      <c r="U96" s="57"/>
      <c r="V96" s="55"/>
      <c r="W96" s="57"/>
      <c r="X96" s="50"/>
      <c r="Y96" s="57"/>
    </row>
    <row r="97" spans="1:40" x14ac:dyDescent="0.25">
      <c r="A97" s="84"/>
      <c r="B97" s="94" t="s">
        <v>130</v>
      </c>
      <c r="C97" s="138">
        <v>1</v>
      </c>
      <c r="D97" s="48" t="s">
        <v>40</v>
      </c>
      <c r="E97" s="127">
        <v>0</v>
      </c>
      <c r="F97" s="56"/>
      <c r="G97" s="57"/>
      <c r="H97" s="50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6"/>
      <c r="T97" s="50"/>
      <c r="U97" s="57"/>
      <c r="V97" s="55"/>
      <c r="W97" s="57"/>
      <c r="X97" s="50"/>
      <c r="Y97" s="57"/>
    </row>
    <row r="98" spans="1:40" x14ac:dyDescent="0.25">
      <c r="A98" s="84"/>
      <c r="B98" s="94" t="s">
        <v>131</v>
      </c>
      <c r="C98" s="138">
        <v>1</v>
      </c>
      <c r="D98" s="48" t="s">
        <v>40</v>
      </c>
      <c r="E98" s="127">
        <v>0</v>
      </c>
      <c r="F98" s="56"/>
      <c r="G98" s="57"/>
      <c r="H98" s="50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6"/>
      <c r="T98" s="50"/>
      <c r="U98" s="57"/>
      <c r="V98" s="55"/>
      <c r="W98" s="57"/>
      <c r="X98" s="50"/>
      <c r="Y98" s="57"/>
    </row>
    <row r="99" spans="1:40" x14ac:dyDescent="0.25">
      <c r="A99" s="84"/>
      <c r="B99" s="94" t="s">
        <v>132</v>
      </c>
      <c r="C99" s="138">
        <v>1</v>
      </c>
      <c r="D99" s="48" t="s">
        <v>40</v>
      </c>
      <c r="E99" s="127">
        <v>0</v>
      </c>
      <c r="F99" s="56"/>
      <c r="G99" s="57"/>
      <c r="H99" s="50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6"/>
      <c r="T99" s="50"/>
      <c r="U99" s="57"/>
      <c r="V99" s="55"/>
      <c r="W99" s="57"/>
      <c r="X99" s="50"/>
      <c r="Y99" s="57"/>
    </row>
    <row r="100" spans="1:40" x14ac:dyDescent="0.25">
      <c r="A100" s="84"/>
      <c r="B100" s="94" t="s">
        <v>128</v>
      </c>
      <c r="C100" s="138">
        <v>1</v>
      </c>
      <c r="D100" s="48" t="s">
        <v>40</v>
      </c>
      <c r="E100" s="51">
        <f>0.165*E94</f>
        <v>361818.435</v>
      </c>
      <c r="F100" s="52"/>
      <c r="G100" s="57"/>
      <c r="H100" s="50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6"/>
      <c r="T100" s="50"/>
      <c r="U100" s="57"/>
      <c r="V100" s="55"/>
      <c r="W100" s="57"/>
      <c r="X100" s="50"/>
      <c r="Y100" s="57"/>
    </row>
    <row r="101" spans="1:40" x14ac:dyDescent="0.25">
      <c r="A101" s="77"/>
      <c r="B101" s="93" t="s">
        <v>303</v>
      </c>
      <c r="C101" s="139">
        <f>8*C5*4*(C12)</f>
        <v>0</v>
      </c>
      <c r="D101" s="63" t="s">
        <v>43</v>
      </c>
      <c r="E101" s="64">
        <f>SUM(E102:E104)</f>
        <v>17547.405555555553</v>
      </c>
      <c r="F101" s="65">
        <f>+E101*C101</f>
        <v>0</v>
      </c>
      <c r="G101" s="53"/>
      <c r="H101" s="49">
        <f>+F101</f>
        <v>0</v>
      </c>
      <c r="I101" s="51">
        <f>+H101</f>
        <v>0</v>
      </c>
      <c r="J101" s="51">
        <f t="shared" ref="J101:S101" si="39">+H101</f>
        <v>0</v>
      </c>
      <c r="K101" s="51">
        <f t="shared" si="39"/>
        <v>0</v>
      </c>
      <c r="L101" s="51">
        <f t="shared" si="39"/>
        <v>0</v>
      </c>
      <c r="M101" s="51">
        <f t="shared" si="39"/>
        <v>0</v>
      </c>
      <c r="N101" s="51">
        <f t="shared" si="39"/>
        <v>0</v>
      </c>
      <c r="O101" s="51">
        <f t="shared" si="39"/>
        <v>0</v>
      </c>
      <c r="P101" s="51">
        <f t="shared" si="39"/>
        <v>0</v>
      </c>
      <c r="Q101" s="51">
        <f t="shared" si="39"/>
        <v>0</v>
      </c>
      <c r="R101" s="51">
        <f t="shared" si="39"/>
        <v>0</v>
      </c>
      <c r="S101" s="52">
        <f t="shared" si="39"/>
        <v>0</v>
      </c>
      <c r="T101" s="53">
        <f>+G101+SUM(H101:S101)</f>
        <v>0</v>
      </c>
      <c r="U101" s="53">
        <f>+SUM(H101:S101)</f>
        <v>0</v>
      </c>
      <c r="V101" s="53">
        <f>+U101</f>
        <v>0</v>
      </c>
      <c r="W101" s="53">
        <f>+V101</f>
        <v>0</v>
      </c>
      <c r="X101" s="53">
        <f>+W101</f>
        <v>0</v>
      </c>
      <c r="Y101" s="53">
        <f>SUM(T101:X101)</f>
        <v>0</v>
      </c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25">
      <c r="A102" s="84"/>
      <c r="B102" s="94" t="s">
        <v>126</v>
      </c>
      <c r="C102" s="138">
        <v>1</v>
      </c>
      <c r="D102" s="48" t="s">
        <v>22</v>
      </c>
      <c r="E102" s="66">
        <f>'DATOS BÁSICOS DE PARTIDA'!C6/6</f>
        <v>14056.666666666666</v>
      </c>
      <c r="F102" s="52"/>
      <c r="G102" s="57"/>
      <c r="H102" s="50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6"/>
      <c r="T102" s="50"/>
      <c r="U102" s="57"/>
      <c r="V102" s="55"/>
      <c r="W102" s="57"/>
      <c r="X102" s="50"/>
      <c r="Y102" s="57"/>
    </row>
    <row r="103" spans="1:40" x14ac:dyDescent="0.25">
      <c r="A103" s="84"/>
      <c r="B103" s="94" t="s">
        <v>127</v>
      </c>
      <c r="C103" s="138">
        <v>1</v>
      </c>
      <c r="D103" s="48" t="s">
        <v>22</v>
      </c>
      <c r="E103" s="51">
        <f>+E102/12</f>
        <v>1171.3888888888889</v>
      </c>
      <c r="F103" s="52"/>
      <c r="G103" s="57"/>
      <c r="H103" s="50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6"/>
      <c r="T103" s="50"/>
      <c r="U103" s="57"/>
      <c r="V103" s="55"/>
      <c r="W103" s="57"/>
      <c r="X103" s="50"/>
      <c r="Y103" s="57"/>
    </row>
    <row r="104" spans="1:40" x14ac:dyDescent="0.25">
      <c r="A104" s="84"/>
      <c r="B104" s="94" t="s">
        <v>128</v>
      </c>
      <c r="C104" s="138">
        <v>1</v>
      </c>
      <c r="D104" s="48" t="s">
        <v>22</v>
      </c>
      <c r="E104" s="51">
        <f>0.165*E102</f>
        <v>2319.35</v>
      </c>
      <c r="F104" s="52"/>
      <c r="G104" s="57"/>
      <c r="H104" s="50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6"/>
      <c r="T104" s="50"/>
      <c r="U104" s="57"/>
      <c r="V104" s="55"/>
      <c r="W104" s="57"/>
      <c r="X104" s="50"/>
      <c r="Y104" s="57"/>
    </row>
    <row r="105" spans="1:40" x14ac:dyDescent="0.25">
      <c r="A105" s="84"/>
      <c r="B105" s="93" t="s">
        <v>59</v>
      </c>
      <c r="C105" s="138">
        <v>0</v>
      </c>
      <c r="D105" s="48" t="s">
        <v>40</v>
      </c>
      <c r="E105" s="127">
        <v>0</v>
      </c>
      <c r="F105" s="56">
        <f>+E105*C105</f>
        <v>0</v>
      </c>
      <c r="G105" s="57"/>
      <c r="H105" s="50">
        <f>+F105</f>
        <v>0</v>
      </c>
      <c r="I105" s="55">
        <f t="shared" ref="I105:S105" si="40">+H105</f>
        <v>0</v>
      </c>
      <c r="J105" s="55">
        <f t="shared" si="40"/>
        <v>0</v>
      </c>
      <c r="K105" s="55">
        <f t="shared" si="40"/>
        <v>0</v>
      </c>
      <c r="L105" s="55">
        <f t="shared" si="40"/>
        <v>0</v>
      </c>
      <c r="M105" s="55">
        <f t="shared" si="40"/>
        <v>0</v>
      </c>
      <c r="N105" s="55">
        <f t="shared" si="40"/>
        <v>0</v>
      </c>
      <c r="O105" s="55">
        <f t="shared" si="40"/>
        <v>0</v>
      </c>
      <c r="P105" s="55">
        <f t="shared" si="40"/>
        <v>0</v>
      </c>
      <c r="Q105" s="55">
        <f t="shared" si="40"/>
        <v>0</v>
      </c>
      <c r="R105" s="55">
        <f t="shared" si="40"/>
        <v>0</v>
      </c>
      <c r="S105" s="56">
        <f t="shared" si="40"/>
        <v>0</v>
      </c>
      <c r="T105" s="53">
        <f>+G105+SUM(H105:S105)</f>
        <v>0</v>
      </c>
      <c r="U105" s="53">
        <f>+SUM(H105:S105)</f>
        <v>0</v>
      </c>
      <c r="V105" s="55">
        <f>+U105</f>
        <v>0</v>
      </c>
      <c r="W105" s="57">
        <f>+V105</f>
        <v>0</v>
      </c>
      <c r="X105" s="50">
        <f>+W105</f>
        <v>0</v>
      </c>
      <c r="Y105" s="57">
        <f>SUM(T105:X105)</f>
        <v>0</v>
      </c>
    </row>
    <row r="106" spans="1:40" x14ac:dyDescent="0.25">
      <c r="A106" s="84"/>
      <c r="B106" s="95" t="s">
        <v>146</v>
      </c>
      <c r="C106" s="28"/>
      <c r="D106" s="28"/>
      <c r="E106" s="28"/>
      <c r="F106" s="29"/>
      <c r="G106" s="33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7"/>
      <c r="U106" s="33"/>
      <c r="V106" s="28"/>
      <c r="W106" s="33"/>
      <c r="X106" s="27"/>
      <c r="Y106" s="33"/>
    </row>
    <row r="107" spans="1:40" x14ac:dyDescent="0.25">
      <c r="A107" s="84"/>
      <c r="B107" s="92" t="s">
        <v>63</v>
      </c>
      <c r="C107" s="28"/>
      <c r="D107" s="28"/>
      <c r="E107" s="148">
        <v>0</v>
      </c>
      <c r="F107" s="29">
        <f>+E107*C107</f>
        <v>0</v>
      </c>
      <c r="G107" s="33"/>
      <c r="H107" s="27">
        <f>+F107</f>
        <v>0</v>
      </c>
      <c r="I107" s="28">
        <f t="shared" ref="I107:S107" si="41">+H107</f>
        <v>0</v>
      </c>
      <c r="J107" s="28">
        <f t="shared" si="41"/>
        <v>0</v>
      </c>
      <c r="K107" s="28">
        <f t="shared" si="41"/>
        <v>0</v>
      </c>
      <c r="L107" s="28">
        <f t="shared" si="41"/>
        <v>0</v>
      </c>
      <c r="M107" s="28">
        <f t="shared" si="41"/>
        <v>0</v>
      </c>
      <c r="N107" s="28">
        <f t="shared" si="41"/>
        <v>0</v>
      </c>
      <c r="O107" s="28">
        <f t="shared" si="41"/>
        <v>0</v>
      </c>
      <c r="P107" s="28">
        <f t="shared" si="41"/>
        <v>0</v>
      </c>
      <c r="Q107" s="28">
        <f t="shared" si="41"/>
        <v>0</v>
      </c>
      <c r="R107" s="28">
        <f t="shared" si="41"/>
        <v>0</v>
      </c>
      <c r="S107" s="29">
        <f t="shared" si="41"/>
        <v>0</v>
      </c>
      <c r="T107" s="53">
        <f>+G107+SUM(H107:S107)</f>
        <v>0</v>
      </c>
      <c r="U107" s="53">
        <f>+SUM(H107:S107)</f>
        <v>0</v>
      </c>
      <c r="V107" s="28">
        <f>+U107</f>
        <v>0</v>
      </c>
      <c r="W107" s="33">
        <f>+V107</f>
        <v>0</v>
      </c>
      <c r="X107" s="27">
        <f>+W107</f>
        <v>0</v>
      </c>
      <c r="Y107" s="33">
        <f>SUM(T107:X107)</f>
        <v>0</v>
      </c>
    </row>
    <row r="108" spans="1:40" x14ac:dyDescent="0.25">
      <c r="A108" s="84"/>
      <c r="B108" s="85"/>
      <c r="C108" s="28"/>
      <c r="D108" s="28"/>
      <c r="E108" s="28"/>
      <c r="F108" s="29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7"/>
      <c r="U108" s="33"/>
      <c r="V108" s="28"/>
      <c r="W108" s="33"/>
      <c r="X108" s="27"/>
      <c r="Y108" s="33"/>
    </row>
    <row r="109" spans="1:40" x14ac:dyDescent="0.25">
      <c r="A109" s="79" t="s">
        <v>66</v>
      </c>
      <c r="B109" s="85"/>
      <c r="C109" s="28"/>
      <c r="D109" s="28"/>
      <c r="E109" s="28"/>
      <c r="F109" s="29"/>
      <c r="G109" s="33"/>
      <c r="H109" s="27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9"/>
      <c r="T109" s="27"/>
      <c r="U109" s="33"/>
      <c r="V109" s="28"/>
      <c r="W109" s="33"/>
      <c r="X109" s="27"/>
      <c r="Y109" s="33"/>
    </row>
    <row r="110" spans="1:40" x14ac:dyDescent="0.25">
      <c r="A110" s="84"/>
      <c r="B110" s="86" t="s">
        <v>122</v>
      </c>
      <c r="C110" s="28">
        <f>+C111+C112</f>
        <v>5</v>
      </c>
      <c r="D110" s="28"/>
      <c r="E110" s="28"/>
      <c r="F110" s="29"/>
      <c r="G110" s="33"/>
      <c r="H110" s="27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9"/>
      <c r="T110" s="27"/>
      <c r="U110" s="33"/>
      <c r="V110" s="28"/>
      <c r="W110" s="33"/>
      <c r="X110" s="27"/>
      <c r="Y110" s="33"/>
    </row>
    <row r="111" spans="1:40" x14ac:dyDescent="0.25">
      <c r="A111" s="84"/>
      <c r="B111" s="87" t="s">
        <v>123</v>
      </c>
      <c r="C111" s="131">
        <v>3</v>
      </c>
      <c r="D111" s="28" t="s">
        <v>81</v>
      </c>
      <c r="E111" s="35">
        <f>SUM(H25:H107)</f>
        <v>2907180990.8083048</v>
      </c>
      <c r="F111" s="29">
        <f>+E111*C111/100</f>
        <v>87215429.724249154</v>
      </c>
      <c r="G111" s="33"/>
      <c r="H111" s="27">
        <f>+F111</f>
        <v>87215429.724249154</v>
      </c>
      <c r="I111" s="28">
        <f t="shared" ref="I111:S111" si="42">+H111</f>
        <v>87215429.724249154</v>
      </c>
      <c r="J111" s="28">
        <f t="shared" si="42"/>
        <v>87215429.724249154</v>
      </c>
      <c r="K111" s="28">
        <f t="shared" si="42"/>
        <v>87215429.724249154</v>
      </c>
      <c r="L111" s="28">
        <f t="shared" si="42"/>
        <v>87215429.724249154</v>
      </c>
      <c r="M111" s="28">
        <f t="shared" si="42"/>
        <v>87215429.724249154</v>
      </c>
      <c r="N111" s="28">
        <f t="shared" si="42"/>
        <v>87215429.724249154</v>
      </c>
      <c r="O111" s="28">
        <f t="shared" si="42"/>
        <v>87215429.724249154</v>
      </c>
      <c r="P111" s="28">
        <f t="shared" si="42"/>
        <v>87215429.724249154</v>
      </c>
      <c r="Q111" s="28">
        <f t="shared" si="42"/>
        <v>87215429.724249154</v>
      </c>
      <c r="R111" s="28">
        <f t="shared" si="42"/>
        <v>87215429.724249154</v>
      </c>
      <c r="S111" s="29">
        <f t="shared" si="42"/>
        <v>87215429.724249154</v>
      </c>
      <c r="T111" s="53">
        <f>+G111+SUM(H111:S111)</f>
        <v>1046585156.6909896</v>
      </c>
      <c r="U111" s="53">
        <f>+SUM(H111:S111)</f>
        <v>1046585156.6909896</v>
      </c>
      <c r="V111" s="28">
        <f t="shared" ref="V111:X112" si="43">+U111</f>
        <v>1046585156.6909896</v>
      </c>
      <c r="W111" s="33">
        <f t="shared" si="43"/>
        <v>1046585156.6909896</v>
      </c>
      <c r="X111" s="27">
        <f t="shared" si="43"/>
        <v>1046585156.6909896</v>
      </c>
      <c r="Y111" s="33">
        <f>SUM(T111:X111)</f>
        <v>5232925783.4549484</v>
      </c>
    </row>
    <row r="112" spans="1:40" x14ac:dyDescent="0.25">
      <c r="A112" s="84"/>
      <c r="B112" s="87" t="s">
        <v>124</v>
      </c>
      <c r="C112" s="131">
        <v>2</v>
      </c>
      <c r="D112" s="28" t="s">
        <v>81</v>
      </c>
      <c r="E112" s="35">
        <f>SUM(H61:H108)</f>
        <v>393607024.19499999</v>
      </c>
      <c r="F112" s="29">
        <f>+E112*C112/100</f>
        <v>7872140.4838999994</v>
      </c>
      <c r="G112" s="33"/>
      <c r="H112" s="27">
        <f>+F112</f>
        <v>7872140.4838999994</v>
      </c>
      <c r="I112" s="28">
        <f t="shared" ref="I112:S112" si="44">+H112</f>
        <v>7872140.4838999994</v>
      </c>
      <c r="J112" s="28">
        <f t="shared" si="44"/>
        <v>7872140.4838999994</v>
      </c>
      <c r="K112" s="28">
        <f t="shared" si="44"/>
        <v>7872140.4838999994</v>
      </c>
      <c r="L112" s="28">
        <f t="shared" si="44"/>
        <v>7872140.4838999994</v>
      </c>
      <c r="M112" s="28">
        <f t="shared" si="44"/>
        <v>7872140.4838999994</v>
      </c>
      <c r="N112" s="28">
        <f t="shared" si="44"/>
        <v>7872140.4838999994</v>
      </c>
      <c r="O112" s="28">
        <f t="shared" si="44"/>
        <v>7872140.4838999994</v>
      </c>
      <c r="P112" s="28">
        <f t="shared" si="44"/>
        <v>7872140.4838999994</v>
      </c>
      <c r="Q112" s="28">
        <f t="shared" si="44"/>
        <v>7872140.4838999994</v>
      </c>
      <c r="R112" s="28">
        <f t="shared" si="44"/>
        <v>7872140.4838999994</v>
      </c>
      <c r="S112" s="29">
        <f t="shared" si="44"/>
        <v>7872140.4838999994</v>
      </c>
      <c r="T112" s="53">
        <f>+G112+SUM(H112:S112)</f>
        <v>94465685.806799963</v>
      </c>
      <c r="U112" s="53">
        <f>+SUM(H112:S112)</f>
        <v>94465685.806799963</v>
      </c>
      <c r="V112" s="28">
        <f t="shared" si="43"/>
        <v>94465685.806799963</v>
      </c>
      <c r="W112" s="33">
        <f t="shared" si="43"/>
        <v>94465685.806799963</v>
      </c>
      <c r="X112" s="27">
        <f t="shared" si="43"/>
        <v>94465685.806799963</v>
      </c>
      <c r="Y112" s="33">
        <f>SUM(T112:X112)</f>
        <v>472328429.0339998</v>
      </c>
    </row>
    <row r="113" spans="1:25" x14ac:dyDescent="0.25">
      <c r="A113" s="84"/>
      <c r="B113" s="86" t="s">
        <v>67</v>
      </c>
      <c r="C113" s="28"/>
      <c r="D113" s="28"/>
      <c r="E113" s="28"/>
      <c r="F113" s="29"/>
      <c r="G113" s="33"/>
      <c r="H113" s="27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9"/>
      <c r="T113" s="27"/>
      <c r="U113" s="33"/>
      <c r="V113" s="28"/>
      <c r="W113" s="33"/>
      <c r="X113" s="27"/>
      <c r="Y113" s="33"/>
    </row>
    <row r="114" spans="1:25" x14ac:dyDescent="0.25">
      <c r="A114" s="84"/>
      <c r="B114" s="87" t="s">
        <v>69</v>
      </c>
      <c r="C114" s="28"/>
      <c r="D114" s="28"/>
      <c r="E114" s="131">
        <v>0</v>
      </c>
      <c r="F114" s="29">
        <f>+E114*C114</f>
        <v>0</v>
      </c>
      <c r="G114" s="33"/>
      <c r="H114" s="27">
        <f>+F114</f>
        <v>0</v>
      </c>
      <c r="I114" s="28">
        <f>+H114</f>
        <v>0</v>
      </c>
      <c r="J114" s="28">
        <f t="shared" ref="J114:S114" si="45">+I114</f>
        <v>0</v>
      </c>
      <c r="K114" s="28">
        <f t="shared" si="45"/>
        <v>0</v>
      </c>
      <c r="L114" s="28">
        <f t="shared" si="45"/>
        <v>0</v>
      </c>
      <c r="M114" s="28">
        <f t="shared" si="45"/>
        <v>0</v>
      </c>
      <c r="N114" s="28">
        <f t="shared" si="45"/>
        <v>0</v>
      </c>
      <c r="O114" s="28">
        <f t="shared" si="45"/>
        <v>0</v>
      </c>
      <c r="P114" s="28">
        <f t="shared" si="45"/>
        <v>0</v>
      </c>
      <c r="Q114" s="28">
        <f t="shared" si="45"/>
        <v>0</v>
      </c>
      <c r="R114" s="28">
        <f t="shared" si="45"/>
        <v>0</v>
      </c>
      <c r="S114" s="29">
        <f t="shared" si="45"/>
        <v>0</v>
      </c>
      <c r="T114" s="53">
        <f>+G114+SUM(H114:S114)</f>
        <v>0</v>
      </c>
      <c r="U114" s="53">
        <f>+SUM(H114:S114)</f>
        <v>0</v>
      </c>
      <c r="V114" s="28">
        <f>+U114</f>
        <v>0</v>
      </c>
      <c r="W114" s="33">
        <f>+V114</f>
        <v>0</v>
      </c>
      <c r="X114" s="27">
        <f>+W114</f>
        <v>0</v>
      </c>
      <c r="Y114" s="33">
        <f>SUM(T114:X114)</f>
        <v>0</v>
      </c>
    </row>
    <row r="115" spans="1:25" ht="15.75" thickBot="1" x14ac:dyDescent="0.3">
      <c r="A115" s="88"/>
      <c r="B115" s="89"/>
      <c r="C115" s="31"/>
      <c r="D115" s="31"/>
      <c r="E115" s="31"/>
      <c r="F115" s="32"/>
      <c r="G115" s="34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2"/>
      <c r="T115" s="30"/>
      <c r="U115" s="34"/>
      <c r="V115" s="31"/>
      <c r="W115" s="34"/>
      <c r="X115" s="30"/>
      <c r="Y115" s="34"/>
    </row>
  </sheetData>
  <pageMargins left="0.7" right="0.7" top="0.75" bottom="0.75" header="0.3" footer="0.3"/>
  <pageSetup paperSize="9" scale="44" orientation="portrait" r:id="rId1"/>
  <rowBreaks count="1" manualBreakCount="1">
    <brk id="18" max="16383" man="1"/>
  </rowBreaks>
  <colBreaks count="2" manualBreakCount="2">
    <brk id="6" max="1048575" man="1"/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3"/>
  <sheetViews>
    <sheetView view="pageBreakPreview" zoomScale="80" zoomScaleNormal="70" zoomScaleSheetLayoutView="80" workbookViewId="0">
      <selection activeCell="B1" sqref="B1"/>
    </sheetView>
  </sheetViews>
  <sheetFormatPr baseColWidth="10" defaultRowHeight="15" x14ac:dyDescent="0.25"/>
  <cols>
    <col min="1" max="1" width="12.5703125" style="4" customWidth="1"/>
    <col min="2" max="2" width="86.7109375" style="4" bestFit="1" customWidth="1"/>
    <col min="3" max="3" width="15.85546875" style="2" bestFit="1" customWidth="1"/>
    <col min="4" max="4" width="14.140625" style="2" bestFit="1" customWidth="1"/>
    <col min="5" max="5" width="13.140625" style="3" customWidth="1"/>
    <col min="6" max="6" width="16.28515625" style="3" bestFit="1" customWidth="1"/>
    <col min="7" max="7" width="12.85546875" bestFit="1" customWidth="1"/>
    <col min="8" max="8" width="15.42578125" bestFit="1" customWidth="1"/>
    <col min="9" max="19" width="13.5703125" bestFit="1" customWidth="1"/>
    <col min="20" max="24" width="15.42578125" bestFit="1" customWidth="1"/>
    <col min="25" max="25" width="13.7109375" bestFit="1" customWidth="1"/>
  </cols>
  <sheetData>
    <row r="1" spans="1:36" ht="27" customHeight="1" thickBot="1" x14ac:dyDescent="0.3">
      <c r="A1"/>
      <c r="B1" s="97" t="s">
        <v>337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5.75" thickBot="1" x14ac:dyDescent="0.3">
      <c r="A2" s="118" t="s">
        <v>241</v>
      </c>
      <c r="B2" s="8" t="s">
        <v>187</v>
      </c>
      <c r="C2" s="111">
        <f>+'DATOS BÁSICOS DE PARTIDA'!C2</f>
        <v>90128.755364806857</v>
      </c>
      <c r="D2" s="37" t="s">
        <v>47</v>
      </c>
    </row>
    <row r="3" spans="1:36" x14ac:dyDescent="0.25">
      <c r="B3" s="151" t="s">
        <v>325</v>
      </c>
      <c r="C3" s="141"/>
      <c r="D3" s="38"/>
    </row>
    <row r="4" spans="1:36" x14ac:dyDescent="0.25">
      <c r="B4" s="151" t="s">
        <v>326</v>
      </c>
      <c r="C4" s="141" t="s">
        <v>258</v>
      </c>
      <c r="D4" s="38"/>
    </row>
    <row r="5" spans="1:36" ht="15.75" thickBot="1" x14ac:dyDescent="0.3">
      <c r="A5" s="119" t="s">
        <v>289</v>
      </c>
      <c r="B5" s="7" t="s">
        <v>27</v>
      </c>
      <c r="C5" s="40">
        <f>('DSIPOSICIÓN FINAL'!C2*'DATOS BÁSICOS DE PARTIDA'!C3*'DATOS BÁSICOS DE PARTIDA'!C12/1000)</f>
        <v>357.83999999999992</v>
      </c>
      <c r="D5" s="38" t="s">
        <v>26</v>
      </c>
      <c r="E5" s="3" t="s">
        <v>288</v>
      </c>
    </row>
    <row r="6" spans="1:36" ht="15.75" thickBot="1" x14ac:dyDescent="0.3">
      <c r="A6" s="119" t="s">
        <v>243</v>
      </c>
      <c r="B6" s="7" t="s">
        <v>208</v>
      </c>
      <c r="C6" s="115">
        <f>12500*'DATOS BÁSICOS DE PARTIDA'!C7</f>
        <v>81250000</v>
      </c>
      <c r="D6" s="38" t="s">
        <v>70</v>
      </c>
    </row>
    <row r="7" spans="1:36" ht="15.75" thickBot="1" x14ac:dyDescent="0.3">
      <c r="A7" s="119" t="s">
        <v>244</v>
      </c>
      <c r="B7" t="s">
        <v>204</v>
      </c>
      <c r="C7" s="115">
        <f>+'DATOS BÁSICOS DE PARTIDA'!C10*'DATOS BÁSICOS DE PARTIDA'!C7*C13</f>
        <v>354900000</v>
      </c>
      <c r="D7" s="38" t="s">
        <v>70</v>
      </c>
    </row>
    <row r="8" spans="1:36" ht="15.75" thickBot="1" x14ac:dyDescent="0.3">
      <c r="A8" s="119" t="s">
        <v>245</v>
      </c>
      <c r="B8" t="s">
        <v>213</v>
      </c>
      <c r="C8" s="115">
        <f>75000*'DATOS BÁSICOS DE PARTIDA'!C7</f>
        <v>487500000</v>
      </c>
      <c r="D8" s="38" t="s">
        <v>70</v>
      </c>
    </row>
    <row r="9" spans="1:36" ht="15.75" thickBot="1" x14ac:dyDescent="0.3">
      <c r="A9" s="119" t="s">
        <v>246</v>
      </c>
      <c r="B9" s="7" t="s">
        <v>205</v>
      </c>
      <c r="C9" s="115">
        <f>120000*'DATOS BÁSICOS DE PARTIDA'!C7</f>
        <v>780000000</v>
      </c>
      <c r="D9" s="38" t="s">
        <v>70</v>
      </c>
    </row>
    <row r="10" spans="1:36" ht="15.75" thickBot="1" x14ac:dyDescent="0.3">
      <c r="A10" s="119" t="s">
        <v>247</v>
      </c>
      <c r="B10" s="7" t="s">
        <v>211</v>
      </c>
      <c r="C10" s="115">
        <f>220000*'DATOS BÁSICOS DE PARTIDA'!C7</f>
        <v>1430000000</v>
      </c>
      <c r="D10" s="38" t="s">
        <v>70</v>
      </c>
    </row>
    <row r="11" spans="1:36" ht="15.75" thickBot="1" x14ac:dyDescent="0.3">
      <c r="A11" s="119" t="s">
        <v>248</v>
      </c>
      <c r="B11" s="7" t="s">
        <v>206</v>
      </c>
      <c r="C11" s="115">
        <f>+'DATOS BÁSICOS DE PARTIDA'!C10*'DATOS BÁSICOS DE PARTIDA'!C7*C13</f>
        <v>354900000</v>
      </c>
      <c r="D11" s="38" t="s">
        <v>70</v>
      </c>
    </row>
    <row r="12" spans="1:36" ht="15.75" thickBot="1" x14ac:dyDescent="0.3">
      <c r="A12" s="119" t="s">
        <v>249</v>
      </c>
      <c r="B12" s="7" t="s">
        <v>209</v>
      </c>
      <c r="C12" s="141">
        <v>2</v>
      </c>
      <c r="D12" s="38" t="s">
        <v>54</v>
      </c>
    </row>
    <row r="13" spans="1:36" ht="15.75" thickBot="1" x14ac:dyDescent="0.3">
      <c r="A13" s="119" t="s">
        <v>250</v>
      </c>
      <c r="B13" t="s">
        <v>201</v>
      </c>
      <c r="C13" s="141">
        <v>2</v>
      </c>
      <c r="D13" s="38" t="s">
        <v>54</v>
      </c>
    </row>
    <row r="14" spans="1:36" ht="15.75" thickBot="1" x14ac:dyDescent="0.3">
      <c r="A14" s="119" t="s">
        <v>251</v>
      </c>
      <c r="B14" t="s">
        <v>202</v>
      </c>
      <c r="C14" s="141">
        <v>1</v>
      </c>
      <c r="D14" s="38" t="s">
        <v>54</v>
      </c>
    </row>
    <row r="15" spans="1:36" ht="15.75" thickBot="1" x14ac:dyDescent="0.3">
      <c r="A15" s="119" t="s">
        <v>252</v>
      </c>
      <c r="B15" s="7" t="s">
        <v>203</v>
      </c>
      <c r="C15" s="141">
        <v>2</v>
      </c>
      <c r="D15" s="38" t="s">
        <v>54</v>
      </c>
    </row>
    <row r="16" spans="1:36" ht="15.75" thickBot="1" x14ac:dyDescent="0.3">
      <c r="A16" s="119" t="s">
        <v>253</v>
      </c>
      <c r="B16" s="7" t="s">
        <v>210</v>
      </c>
      <c r="C16" s="141">
        <v>1</v>
      </c>
      <c r="D16" s="38" t="s">
        <v>54</v>
      </c>
    </row>
    <row r="17" spans="1:6" ht="15.75" thickBot="1" x14ac:dyDescent="0.3">
      <c r="A17" s="119" t="s">
        <v>254</v>
      </c>
      <c r="B17" s="7" t="s">
        <v>212</v>
      </c>
      <c r="C17" s="141">
        <v>1</v>
      </c>
      <c r="D17" s="38" t="s">
        <v>54</v>
      </c>
    </row>
    <row r="18" spans="1:6" ht="15.75" thickBot="1" x14ac:dyDescent="0.3">
      <c r="A18" s="119" t="s">
        <v>293</v>
      </c>
      <c r="B18" s="7" t="s">
        <v>207</v>
      </c>
      <c r="C18" s="115">
        <f>+C12*C6+C13*C7+C14*C8+C15*C9+C16*C10+C17*C11</f>
        <v>4704700000</v>
      </c>
      <c r="D18" s="38" t="s">
        <v>70</v>
      </c>
    </row>
    <row r="19" spans="1:6" ht="15.75" thickBot="1" x14ac:dyDescent="0.3">
      <c r="A19" s="119" t="s">
        <v>290</v>
      </c>
      <c r="B19" s="7" t="s">
        <v>31</v>
      </c>
      <c r="C19" s="128">
        <v>0.8</v>
      </c>
      <c r="D19" s="38" t="s">
        <v>32</v>
      </c>
      <c r="E19" s="159" t="s">
        <v>327</v>
      </c>
      <c r="F19" s="159"/>
    </row>
    <row r="20" spans="1:6" ht="15.75" thickBot="1" x14ac:dyDescent="0.3">
      <c r="A20" s="119" t="s">
        <v>256</v>
      </c>
      <c r="B20" s="4" t="s">
        <v>45</v>
      </c>
      <c r="C20" s="128">
        <v>300</v>
      </c>
      <c r="D20" s="36" t="s">
        <v>33</v>
      </c>
      <c r="E20" s="159"/>
      <c r="F20" s="159"/>
    </row>
    <row r="21" spans="1:6" ht="15.75" thickBot="1" x14ac:dyDescent="0.3">
      <c r="A21" s="119" t="s">
        <v>257</v>
      </c>
      <c r="B21" s="4" t="s">
        <v>46</v>
      </c>
      <c r="C21" s="128">
        <v>9</v>
      </c>
      <c r="D21" s="36" t="s">
        <v>33</v>
      </c>
      <c r="E21" s="159"/>
      <c r="F21" s="159"/>
    </row>
    <row r="22" spans="1:6" ht="15.75" thickBot="1" x14ac:dyDescent="0.3">
      <c r="A22" s="119" t="s">
        <v>258</v>
      </c>
      <c r="B22" s="6" t="s">
        <v>29</v>
      </c>
      <c r="C22" s="128">
        <v>100</v>
      </c>
      <c r="D22" s="36" t="s">
        <v>33</v>
      </c>
      <c r="E22" s="159"/>
      <c r="F22" s="159"/>
    </row>
    <row r="23" spans="1:6" ht="15.75" thickBot="1" x14ac:dyDescent="0.3">
      <c r="A23" s="119" t="s">
        <v>259</v>
      </c>
      <c r="B23" s="6" t="s">
        <v>141</v>
      </c>
      <c r="C23" s="128">
        <v>1.5</v>
      </c>
      <c r="D23" s="36" t="s">
        <v>33</v>
      </c>
      <c r="E23" s="159"/>
      <c r="F23" s="159"/>
    </row>
    <row r="24" spans="1:6" ht="15.75" thickBot="1" x14ac:dyDescent="0.3">
      <c r="A24" s="119" t="s">
        <v>260</v>
      </c>
      <c r="B24" s="6" t="s">
        <v>30</v>
      </c>
      <c r="C24" s="41">
        <f>+(C5/(C19*C22*C23))</f>
        <v>2.9819999999999993</v>
      </c>
      <c r="D24" s="36" t="s">
        <v>33</v>
      </c>
    </row>
    <row r="25" spans="1:6" ht="15.75" thickBot="1" x14ac:dyDescent="0.3">
      <c r="A25" s="119" t="s">
        <v>291</v>
      </c>
      <c r="B25" s="6" t="s">
        <v>34</v>
      </c>
      <c r="C25" s="42">
        <f>+C24*C22</f>
        <v>298.19999999999993</v>
      </c>
      <c r="D25" s="36" t="s">
        <v>35</v>
      </c>
    </row>
    <row r="26" spans="1:6" ht="15.75" thickBot="1" x14ac:dyDescent="0.3">
      <c r="A26" s="119" t="s">
        <v>292</v>
      </c>
      <c r="B26" s="120" t="s">
        <v>230</v>
      </c>
      <c r="C26" s="141">
        <v>2</v>
      </c>
      <c r="D26" s="36" t="s">
        <v>221</v>
      </c>
    </row>
    <row r="27" spans="1:6" x14ac:dyDescent="0.25">
      <c r="B27" s="1" t="s">
        <v>222</v>
      </c>
      <c r="C27" s="42"/>
      <c r="D27" s="36"/>
    </row>
    <row r="28" spans="1:6" x14ac:dyDescent="0.25">
      <c r="B28" s="106" t="s">
        <v>214</v>
      </c>
      <c r="C28" s="141">
        <v>2</v>
      </c>
      <c r="D28" s="36" t="s">
        <v>193</v>
      </c>
    </row>
    <row r="29" spans="1:6" x14ac:dyDescent="0.25">
      <c r="B29" s="106" t="s">
        <v>215</v>
      </c>
      <c r="C29" s="141">
        <f>+C30*4</f>
        <v>8</v>
      </c>
      <c r="D29" s="36" t="s">
        <v>193</v>
      </c>
    </row>
    <row r="30" spans="1:6" x14ac:dyDescent="0.25">
      <c r="B30" s="106" t="s">
        <v>216</v>
      </c>
      <c r="C30" s="141">
        <v>2</v>
      </c>
      <c r="D30" s="36" t="s">
        <v>193</v>
      </c>
    </row>
    <row r="31" spans="1:6" x14ac:dyDescent="0.25">
      <c r="B31" s="106" t="s">
        <v>217</v>
      </c>
      <c r="C31" s="141">
        <v>3</v>
      </c>
      <c r="D31" s="36" t="s">
        <v>193</v>
      </c>
    </row>
    <row r="32" spans="1:6" x14ac:dyDescent="0.25">
      <c r="B32" s="106" t="s">
        <v>218</v>
      </c>
      <c r="C32" s="141">
        <v>2</v>
      </c>
      <c r="D32" s="36" t="s">
        <v>193</v>
      </c>
    </row>
    <row r="33" spans="1:5" x14ac:dyDescent="0.25">
      <c r="B33" s="106" t="s">
        <v>219</v>
      </c>
      <c r="C33" s="141">
        <v>1</v>
      </c>
      <c r="D33" s="36" t="s">
        <v>193</v>
      </c>
    </row>
    <row r="34" spans="1:5" x14ac:dyDescent="0.25">
      <c r="B34" s="120" t="s">
        <v>233</v>
      </c>
      <c r="C34" s="116">
        <f>+SUM(C12:C17)*C26</f>
        <v>18</v>
      </c>
      <c r="D34" s="36" t="s">
        <v>58</v>
      </c>
    </row>
    <row r="35" spans="1:5" x14ac:dyDescent="0.25">
      <c r="B35" s="120" t="s">
        <v>237</v>
      </c>
      <c r="C35" s="117">
        <f>1+C26</f>
        <v>3</v>
      </c>
      <c r="D35" s="36" t="s">
        <v>58</v>
      </c>
    </row>
    <row r="36" spans="1:5" x14ac:dyDescent="0.25">
      <c r="B36" s="120" t="s">
        <v>235</v>
      </c>
      <c r="C36" s="117">
        <f>12*C26</f>
        <v>24</v>
      </c>
      <c r="D36" s="36" t="s">
        <v>58</v>
      </c>
    </row>
    <row r="37" spans="1:5" ht="15.75" thickBot="1" x14ac:dyDescent="0.3">
      <c r="B37" s="1" t="s">
        <v>223</v>
      </c>
      <c r="C37" s="117"/>
      <c r="D37" s="36"/>
    </row>
    <row r="38" spans="1:5" ht="15.75" thickBot="1" x14ac:dyDescent="0.3">
      <c r="A38" s="118" t="s">
        <v>225</v>
      </c>
      <c r="B38" s="106" t="s">
        <v>28</v>
      </c>
      <c r="C38" s="42">
        <f>C5/0.95</f>
        <v>376.67368421052623</v>
      </c>
      <c r="D38" s="36" t="s">
        <v>193</v>
      </c>
    </row>
    <row r="39" spans="1:5" ht="15.75" thickBot="1" x14ac:dyDescent="0.3">
      <c r="A39" s="118" t="s">
        <v>294</v>
      </c>
      <c r="B39" s="106" t="s">
        <v>36</v>
      </c>
      <c r="C39" s="42">
        <f>+C25/20*(C23/0.3)</f>
        <v>74.549999999999983</v>
      </c>
      <c r="D39" s="36" t="s">
        <v>193</v>
      </c>
    </row>
    <row r="40" spans="1:5" ht="15.75" thickBot="1" x14ac:dyDescent="0.3">
      <c r="A40" s="119" t="s">
        <v>295</v>
      </c>
      <c r="B40" s="107" t="s">
        <v>37</v>
      </c>
      <c r="C40" s="42">
        <f>+C25*0.15/0.35</f>
        <v>127.79999999999998</v>
      </c>
      <c r="D40" s="36" t="s">
        <v>193</v>
      </c>
    </row>
    <row r="41" spans="1:5" ht="15.75" thickBot="1" x14ac:dyDescent="0.3">
      <c r="A41" s="119" t="s">
        <v>296</v>
      </c>
      <c r="B41" s="106" t="s">
        <v>38</v>
      </c>
      <c r="C41" s="42">
        <f>+C25/20</f>
        <v>14.909999999999997</v>
      </c>
      <c r="D41" s="36" t="s">
        <v>193</v>
      </c>
    </row>
    <row r="42" spans="1:5" ht="15.75" thickBot="1" x14ac:dyDescent="0.3">
      <c r="A42" s="119" t="s">
        <v>297</v>
      </c>
      <c r="B42" s="4" t="s">
        <v>41</v>
      </c>
      <c r="C42" s="42">
        <f>SUM(C38:C41)</f>
        <v>593.93368421052617</v>
      </c>
      <c r="D42" s="36" t="s">
        <v>193</v>
      </c>
    </row>
    <row r="43" spans="1:5" ht="15.75" thickBot="1" x14ac:dyDescent="0.3">
      <c r="A43" s="119" t="s">
        <v>298</v>
      </c>
      <c r="B43" s="4" t="s">
        <v>42</v>
      </c>
      <c r="C43" s="142">
        <v>6</v>
      </c>
      <c r="D43" s="36" t="s">
        <v>236</v>
      </c>
    </row>
    <row r="44" spans="1:5" ht="15.75" thickBot="1" x14ac:dyDescent="0.3">
      <c r="A44" s="119" t="s">
        <v>299</v>
      </c>
      <c r="B44" s="4" t="s">
        <v>238</v>
      </c>
      <c r="C44" s="114">
        <f>IF(ROUNDUP(C42/C43,0)=1,2,ROUNDUP(C42/C43,0))/C26</f>
        <v>49.5</v>
      </c>
      <c r="D44" s="36" t="s">
        <v>58</v>
      </c>
    </row>
    <row r="45" spans="1:5" ht="15.75" thickBot="1" x14ac:dyDescent="0.3">
      <c r="A45" s="119" t="s">
        <v>300</v>
      </c>
      <c r="B45" s="120" t="s">
        <v>234</v>
      </c>
      <c r="C45" s="117">
        <f>+C26</f>
        <v>2</v>
      </c>
      <c r="D45" s="36" t="s">
        <v>58</v>
      </c>
    </row>
    <row r="46" spans="1:5" ht="15.75" thickBot="1" x14ac:dyDescent="0.3">
      <c r="A46" s="119" t="s">
        <v>301</v>
      </c>
      <c r="B46" s="9" t="s">
        <v>314</v>
      </c>
      <c r="C46" s="45">
        <f>(C20*C21*C22)/(C25*C23*25)</f>
        <v>24.144869215291756</v>
      </c>
      <c r="D46" s="39" t="s">
        <v>44</v>
      </c>
      <c r="E46" s="3" t="s">
        <v>302</v>
      </c>
    </row>
    <row r="47" spans="1:5" x14ac:dyDescent="0.25">
      <c r="B47" s="4" t="s">
        <v>82</v>
      </c>
      <c r="C47" s="43">
        <f>Y53/5</f>
        <v>11836958480.119999</v>
      </c>
      <c r="D47" s="36" t="s">
        <v>51</v>
      </c>
    </row>
    <row r="48" spans="1:5" x14ac:dyDescent="0.25">
      <c r="B48" s="9" t="s">
        <v>151</v>
      </c>
      <c r="C48" s="44">
        <f>+C47/6500/(C5*365)</f>
        <v>13.942640128465444</v>
      </c>
      <c r="D48" s="99" t="s">
        <v>83</v>
      </c>
    </row>
    <row r="49" spans="1:40" x14ac:dyDescent="0.25">
      <c r="A49"/>
      <c r="B49" s="7" t="s">
        <v>318</v>
      </c>
      <c r="C49" s="122">
        <f>+'DATOS BÁSICOS DE PARTIDA'!C14</f>
        <v>20</v>
      </c>
      <c r="D49" s="123" t="s">
        <v>81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</row>
    <row r="50" spans="1:40" x14ac:dyDescent="0.25">
      <c r="B50" s="9" t="s">
        <v>48</v>
      </c>
      <c r="C50" s="44">
        <f>+C47/12/'DSIPOSICIÓN FINAL'!C2*(1+C49/100)</f>
        <v>13133.387266037906</v>
      </c>
      <c r="D50" s="39" t="s">
        <v>148</v>
      </c>
    </row>
    <row r="51" spans="1:40" ht="15.75" thickBot="1" x14ac:dyDescent="0.3">
      <c r="C51" s="5"/>
    </row>
    <row r="52" spans="1:40" x14ac:dyDescent="0.25">
      <c r="A52" s="76"/>
      <c r="B52" s="96" t="s">
        <v>140</v>
      </c>
      <c r="C52" s="11" t="s">
        <v>20</v>
      </c>
      <c r="D52" s="11" t="s">
        <v>21</v>
      </c>
      <c r="E52" s="19" t="s">
        <v>23</v>
      </c>
      <c r="F52" s="20" t="s">
        <v>24</v>
      </c>
      <c r="G52" s="22" t="s">
        <v>19</v>
      </c>
      <c r="H52" s="10" t="s">
        <v>2</v>
      </c>
      <c r="I52" s="11" t="s">
        <v>3</v>
      </c>
      <c r="J52" s="11" t="s">
        <v>4</v>
      </c>
      <c r="K52" s="11" t="s">
        <v>5</v>
      </c>
      <c r="L52" s="11" t="s">
        <v>6</v>
      </c>
      <c r="M52" s="11" t="s">
        <v>7</v>
      </c>
      <c r="N52" s="11" t="s">
        <v>8</v>
      </c>
      <c r="O52" s="11" t="s">
        <v>9</v>
      </c>
      <c r="P52" s="11" t="s">
        <v>10</v>
      </c>
      <c r="Q52" s="11" t="s">
        <v>11</v>
      </c>
      <c r="R52" s="11" t="s">
        <v>12</v>
      </c>
      <c r="S52" s="12" t="s">
        <v>13</v>
      </c>
      <c r="T52" s="22" t="s">
        <v>14</v>
      </c>
      <c r="U52" s="22" t="s">
        <v>15</v>
      </c>
      <c r="V52" s="22" t="s">
        <v>16</v>
      </c>
      <c r="W52" s="22" t="s">
        <v>17</v>
      </c>
      <c r="X52" s="22" t="s">
        <v>18</v>
      </c>
      <c r="Y52" s="22" t="s">
        <v>56</v>
      </c>
    </row>
    <row r="53" spans="1:40" ht="15.75" thickBot="1" x14ac:dyDescent="0.3">
      <c r="A53" s="90"/>
      <c r="B53" s="91"/>
      <c r="C53" s="25"/>
      <c r="D53" s="25"/>
      <c r="E53" s="17"/>
      <c r="F53" s="18"/>
      <c r="G53" s="24">
        <f t="shared" ref="G53:Y53" si="0">SUM(G56:G151)</f>
        <v>59598074.999999993</v>
      </c>
      <c r="H53" s="16">
        <f t="shared" si="0"/>
        <v>6794170210.6350002</v>
      </c>
      <c r="I53" s="17">
        <f t="shared" si="0"/>
        <v>476185210.63499999</v>
      </c>
      <c r="J53" s="17">
        <f t="shared" si="0"/>
        <v>477245210.63499999</v>
      </c>
      <c r="K53" s="17">
        <f t="shared" si="0"/>
        <v>476185210.63499999</v>
      </c>
      <c r="L53" s="17">
        <f t="shared" si="0"/>
        <v>477245210.63499999</v>
      </c>
      <c r="M53" s="17">
        <f t="shared" si="0"/>
        <v>476185210.63499999</v>
      </c>
      <c r="N53" s="17">
        <f t="shared" si="0"/>
        <v>477245210.63499999</v>
      </c>
      <c r="O53" s="17">
        <f t="shared" si="0"/>
        <v>476185210.63499999</v>
      </c>
      <c r="P53" s="17">
        <f t="shared" si="0"/>
        <v>477245210.63499999</v>
      </c>
      <c r="Q53" s="17">
        <f t="shared" si="0"/>
        <v>476185210.63499999</v>
      </c>
      <c r="R53" s="17">
        <f t="shared" si="0"/>
        <v>477245210.63499999</v>
      </c>
      <c r="S53" s="18">
        <f t="shared" si="0"/>
        <v>476185210.63499999</v>
      </c>
      <c r="T53" s="24">
        <f t="shared" si="0"/>
        <v>12097105602.620001</v>
      </c>
      <c r="U53" s="24">
        <f t="shared" si="0"/>
        <v>12037507527.620001</v>
      </c>
      <c r="V53" s="24">
        <f t="shared" si="0"/>
        <v>11645108027.620001</v>
      </c>
      <c r="W53" s="24">
        <f t="shared" si="0"/>
        <v>11637608027.620001</v>
      </c>
      <c r="X53" s="24">
        <f t="shared" si="0"/>
        <v>11767463215.120001</v>
      </c>
      <c r="Y53" s="24">
        <f t="shared" si="0"/>
        <v>59184792400.599998</v>
      </c>
    </row>
    <row r="54" spans="1:40" x14ac:dyDescent="0.25">
      <c r="A54" s="77"/>
      <c r="B54" s="78"/>
      <c r="C54" s="21"/>
      <c r="D54" s="21"/>
      <c r="E54" s="14"/>
      <c r="F54" s="15"/>
      <c r="G54" s="23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5"/>
      <c r="T54" s="23"/>
      <c r="U54" s="23"/>
      <c r="V54" s="23"/>
      <c r="W54" s="23"/>
      <c r="X54" s="23"/>
      <c r="Y54" s="23"/>
    </row>
    <row r="55" spans="1:40" x14ac:dyDescent="0.25">
      <c r="A55" s="79" t="s">
        <v>60</v>
      </c>
      <c r="B55" s="78"/>
      <c r="C55" s="21"/>
      <c r="D55" s="21"/>
      <c r="E55" s="14"/>
      <c r="F55" s="15"/>
      <c r="G55" s="23"/>
      <c r="H55" s="1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5"/>
      <c r="T55" s="23"/>
      <c r="U55" s="23"/>
      <c r="V55" s="23"/>
      <c r="W55" s="23"/>
      <c r="X55" s="23"/>
      <c r="Y55" s="23"/>
    </row>
    <row r="56" spans="1:40" x14ac:dyDescent="0.25">
      <c r="A56" s="77"/>
      <c r="B56" s="113" t="s">
        <v>315</v>
      </c>
      <c r="C56" s="133">
        <v>1</v>
      </c>
      <c r="D56" s="46" t="s">
        <v>52</v>
      </c>
      <c r="E56" s="137">
        <v>6000000</v>
      </c>
      <c r="F56" s="52">
        <f>+E56*C56</f>
        <v>6000000</v>
      </c>
      <c r="G56" s="53">
        <f>+F56</f>
        <v>6000000</v>
      </c>
      <c r="H56" s="49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2"/>
      <c r="T56" s="53">
        <f>+G56+SUM(H56:S56)</f>
        <v>6000000</v>
      </c>
      <c r="U56" s="53">
        <f>+SUM(H56:S56)</f>
        <v>0</v>
      </c>
      <c r="V56" s="53">
        <f>+T56</f>
        <v>6000000</v>
      </c>
      <c r="W56" s="53">
        <f>+U56</f>
        <v>0</v>
      </c>
      <c r="X56" s="53">
        <f>+V56</f>
        <v>6000000</v>
      </c>
      <c r="Y56" s="53">
        <f t="shared" ref="Y56:Y87" si="1">SUM(T56:X56)</f>
        <v>18000000</v>
      </c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x14ac:dyDescent="0.25">
      <c r="A57" s="77"/>
      <c r="B57" s="80" t="s">
        <v>0</v>
      </c>
      <c r="C57" s="72">
        <f>(C20*(C22+1)*12/C46/10000*5)*1.3*5</f>
        <v>48.942074999999996</v>
      </c>
      <c r="D57" s="46" t="s">
        <v>53</v>
      </c>
      <c r="E57" s="137">
        <v>5000000</v>
      </c>
      <c r="F57" s="52">
        <f>+E57*C57</f>
        <v>244710374.99999997</v>
      </c>
      <c r="G57" s="53">
        <f>+F57/5</f>
        <v>48942074.999999993</v>
      </c>
      <c r="H57" s="49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2"/>
      <c r="T57" s="53">
        <f t="shared" ref="T57:T82" si="2">+G57+SUM(H57:S57)</f>
        <v>48942074.999999993</v>
      </c>
      <c r="U57" s="53">
        <f t="shared" ref="U57:U82" si="3">+SUM(H57:S57)</f>
        <v>0</v>
      </c>
      <c r="V57" s="53">
        <f t="shared" ref="V57:X78" si="4">+U57</f>
        <v>0</v>
      </c>
      <c r="W57" s="53">
        <f t="shared" si="4"/>
        <v>0</v>
      </c>
      <c r="X57" s="53">
        <f t="shared" si="4"/>
        <v>0</v>
      </c>
      <c r="Y57" s="53">
        <f t="shared" si="1"/>
        <v>48942074.999999993</v>
      </c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x14ac:dyDescent="0.25">
      <c r="A58" s="77"/>
      <c r="B58" s="80" t="s">
        <v>316</v>
      </c>
      <c r="C58" s="71"/>
      <c r="D58" s="46"/>
      <c r="E58" s="51"/>
      <c r="F58" s="52"/>
      <c r="G58" s="53"/>
      <c r="H58" s="49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2"/>
      <c r="T58" s="53">
        <f t="shared" si="2"/>
        <v>0</v>
      </c>
      <c r="U58" s="53">
        <f t="shared" si="3"/>
        <v>0</v>
      </c>
      <c r="V58" s="53">
        <f t="shared" si="4"/>
        <v>0</v>
      </c>
      <c r="W58" s="53">
        <f t="shared" si="4"/>
        <v>0</v>
      </c>
      <c r="X58" s="53">
        <f t="shared" si="4"/>
        <v>0</v>
      </c>
      <c r="Y58" s="53">
        <f t="shared" si="1"/>
        <v>0</v>
      </c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x14ac:dyDescent="0.25">
      <c r="A59" s="77"/>
      <c r="B59" s="81" t="s">
        <v>239</v>
      </c>
      <c r="C59" s="133">
        <v>2</v>
      </c>
      <c r="D59" s="46" t="s">
        <v>22</v>
      </c>
      <c r="E59" s="137">
        <v>350000</v>
      </c>
      <c r="F59" s="52">
        <f>+E59*C59</f>
        <v>700000</v>
      </c>
      <c r="G59" s="54"/>
      <c r="H59" s="49">
        <f>+F59</f>
        <v>700000</v>
      </c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2"/>
      <c r="T59" s="53">
        <f t="shared" si="2"/>
        <v>700000</v>
      </c>
      <c r="U59" s="53">
        <f t="shared" si="3"/>
        <v>700000</v>
      </c>
      <c r="V59" s="53">
        <f t="shared" si="4"/>
        <v>700000</v>
      </c>
      <c r="W59" s="53">
        <f t="shared" si="4"/>
        <v>700000</v>
      </c>
      <c r="X59" s="53">
        <f t="shared" si="4"/>
        <v>700000</v>
      </c>
      <c r="Y59" s="53">
        <f t="shared" si="1"/>
        <v>3500000</v>
      </c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x14ac:dyDescent="0.25">
      <c r="A60" s="77"/>
      <c r="B60" s="81" t="s">
        <v>240</v>
      </c>
      <c r="C60" s="71">
        <f>C20*C21*C22/15</f>
        <v>18000</v>
      </c>
      <c r="D60" s="46" t="s">
        <v>22</v>
      </c>
      <c r="E60" s="137">
        <v>350000</v>
      </c>
      <c r="F60" s="52">
        <f>+E60*C60</f>
        <v>6300000000</v>
      </c>
      <c r="G60" s="54"/>
      <c r="H60" s="49">
        <f>+F60</f>
        <v>6300000000</v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3">
        <f t="shared" si="2"/>
        <v>6300000000</v>
      </c>
      <c r="U60" s="53">
        <f t="shared" si="3"/>
        <v>6300000000</v>
      </c>
      <c r="V60" s="53">
        <f t="shared" si="4"/>
        <v>6300000000</v>
      </c>
      <c r="W60" s="53">
        <f t="shared" si="4"/>
        <v>6300000000</v>
      </c>
      <c r="X60" s="53">
        <f t="shared" si="4"/>
        <v>6300000000</v>
      </c>
      <c r="Y60" s="53">
        <f t="shared" si="1"/>
        <v>31500000000</v>
      </c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x14ac:dyDescent="0.25">
      <c r="A61" s="77"/>
      <c r="B61" s="81" t="s">
        <v>84</v>
      </c>
      <c r="C61" s="71"/>
      <c r="D61" s="46"/>
      <c r="E61" s="51"/>
      <c r="F61" s="52"/>
      <c r="G61" s="53"/>
      <c r="H61" s="49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2"/>
      <c r="T61" s="53">
        <f t="shared" si="2"/>
        <v>0</v>
      </c>
      <c r="U61" s="53">
        <f t="shared" si="3"/>
        <v>0</v>
      </c>
      <c r="V61" s="53">
        <f t="shared" si="4"/>
        <v>0</v>
      </c>
      <c r="W61" s="53">
        <f t="shared" si="4"/>
        <v>0</v>
      </c>
      <c r="X61" s="53">
        <f t="shared" si="4"/>
        <v>0</v>
      </c>
      <c r="Y61" s="53">
        <f t="shared" si="1"/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x14ac:dyDescent="0.25">
      <c r="A62" s="77"/>
      <c r="B62" s="81" t="s">
        <v>85</v>
      </c>
      <c r="C62" s="71"/>
      <c r="D62" s="46"/>
      <c r="E62" s="51"/>
      <c r="F62" s="52"/>
      <c r="G62" s="53"/>
      <c r="H62" s="49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2"/>
      <c r="T62" s="53">
        <f t="shared" si="2"/>
        <v>0</v>
      </c>
      <c r="U62" s="53">
        <f t="shared" si="3"/>
        <v>0</v>
      </c>
      <c r="V62" s="53">
        <f t="shared" si="4"/>
        <v>0</v>
      </c>
      <c r="W62" s="53">
        <f t="shared" si="4"/>
        <v>0</v>
      </c>
      <c r="X62" s="53">
        <f t="shared" si="4"/>
        <v>0</v>
      </c>
      <c r="Y62" s="53">
        <f t="shared" si="1"/>
        <v>0</v>
      </c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x14ac:dyDescent="0.25">
      <c r="A63" s="77"/>
      <c r="B63" s="81" t="s">
        <v>86</v>
      </c>
      <c r="C63" s="71"/>
      <c r="D63" s="46"/>
      <c r="E63" s="51"/>
      <c r="F63" s="52"/>
      <c r="G63" s="53"/>
      <c r="H63" s="49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2"/>
      <c r="T63" s="53">
        <f t="shared" si="2"/>
        <v>0</v>
      </c>
      <c r="U63" s="53">
        <f t="shared" si="3"/>
        <v>0</v>
      </c>
      <c r="V63" s="53">
        <f t="shared" si="4"/>
        <v>0</v>
      </c>
      <c r="W63" s="53">
        <f t="shared" si="4"/>
        <v>0</v>
      </c>
      <c r="X63" s="53">
        <f t="shared" si="4"/>
        <v>0</v>
      </c>
      <c r="Y63" s="53">
        <f t="shared" si="1"/>
        <v>0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x14ac:dyDescent="0.25">
      <c r="A64" s="77"/>
      <c r="B64" s="81" t="s">
        <v>87</v>
      </c>
      <c r="C64" s="71"/>
      <c r="D64" s="46"/>
      <c r="E64" s="51"/>
      <c r="F64" s="52"/>
      <c r="G64" s="53"/>
      <c r="H64" s="49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3">
        <f t="shared" si="2"/>
        <v>0</v>
      </c>
      <c r="U64" s="53">
        <f t="shared" si="3"/>
        <v>0</v>
      </c>
      <c r="V64" s="53">
        <f t="shared" si="4"/>
        <v>0</v>
      </c>
      <c r="W64" s="53">
        <f t="shared" si="4"/>
        <v>0</v>
      </c>
      <c r="X64" s="53">
        <f t="shared" si="4"/>
        <v>0</v>
      </c>
      <c r="Y64" s="53">
        <f t="shared" si="1"/>
        <v>0</v>
      </c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x14ac:dyDescent="0.25">
      <c r="A65" s="77"/>
      <c r="B65" s="81" t="s">
        <v>88</v>
      </c>
      <c r="C65" s="71"/>
      <c r="D65" s="46"/>
      <c r="E65" s="51"/>
      <c r="F65" s="52"/>
      <c r="G65" s="53"/>
      <c r="H65" s="49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2"/>
      <c r="T65" s="53">
        <f t="shared" si="2"/>
        <v>0</v>
      </c>
      <c r="U65" s="53">
        <f t="shared" si="3"/>
        <v>0</v>
      </c>
      <c r="V65" s="53">
        <f t="shared" si="4"/>
        <v>0</v>
      </c>
      <c r="W65" s="53">
        <f t="shared" si="4"/>
        <v>0</v>
      </c>
      <c r="X65" s="53">
        <f t="shared" si="4"/>
        <v>0</v>
      </c>
      <c r="Y65" s="53">
        <f t="shared" si="1"/>
        <v>0</v>
      </c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x14ac:dyDescent="0.25">
      <c r="A66" s="77"/>
      <c r="B66" s="81" t="s">
        <v>89</v>
      </c>
      <c r="C66" s="71"/>
      <c r="D66" s="46"/>
      <c r="E66" s="51"/>
      <c r="F66" s="52"/>
      <c r="G66" s="53"/>
      <c r="H66" s="49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2"/>
      <c r="T66" s="53">
        <f t="shared" si="2"/>
        <v>0</v>
      </c>
      <c r="U66" s="53">
        <f t="shared" si="3"/>
        <v>0</v>
      </c>
      <c r="V66" s="53">
        <f t="shared" si="4"/>
        <v>0</v>
      </c>
      <c r="W66" s="53">
        <f t="shared" si="4"/>
        <v>0</v>
      </c>
      <c r="X66" s="53">
        <f t="shared" si="4"/>
        <v>0</v>
      </c>
      <c r="Y66" s="53">
        <f t="shared" si="1"/>
        <v>0</v>
      </c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x14ac:dyDescent="0.25">
      <c r="A67" s="77"/>
      <c r="B67" s="81" t="s">
        <v>90</v>
      </c>
      <c r="C67" s="71"/>
      <c r="D67" s="46"/>
      <c r="E67" s="51"/>
      <c r="F67" s="52"/>
      <c r="G67" s="53"/>
      <c r="H67" s="49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2"/>
      <c r="T67" s="53">
        <f t="shared" si="2"/>
        <v>0</v>
      </c>
      <c r="U67" s="53">
        <f t="shared" si="3"/>
        <v>0</v>
      </c>
      <c r="V67" s="53">
        <f t="shared" si="4"/>
        <v>0</v>
      </c>
      <c r="W67" s="53">
        <f t="shared" si="4"/>
        <v>0</v>
      </c>
      <c r="X67" s="53">
        <f t="shared" si="4"/>
        <v>0</v>
      </c>
      <c r="Y67" s="53">
        <f t="shared" si="1"/>
        <v>0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5">
      <c r="A68" s="77"/>
      <c r="B68" s="81" t="s">
        <v>91</v>
      </c>
      <c r="C68" s="71"/>
      <c r="D68" s="46"/>
      <c r="E68" s="51"/>
      <c r="F68" s="52"/>
      <c r="G68" s="53"/>
      <c r="H68" s="49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2"/>
      <c r="T68" s="53">
        <f t="shared" si="2"/>
        <v>0</v>
      </c>
      <c r="U68" s="53">
        <f t="shared" si="3"/>
        <v>0</v>
      </c>
      <c r="V68" s="53">
        <f t="shared" si="4"/>
        <v>0</v>
      </c>
      <c r="W68" s="53">
        <f t="shared" si="4"/>
        <v>0</v>
      </c>
      <c r="X68" s="53">
        <f t="shared" si="4"/>
        <v>0</v>
      </c>
      <c r="Y68" s="53">
        <f t="shared" si="1"/>
        <v>0</v>
      </c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x14ac:dyDescent="0.25">
      <c r="A69" s="77"/>
      <c r="B69" s="81" t="s">
        <v>92</v>
      </c>
      <c r="C69" s="71"/>
      <c r="D69" s="46"/>
      <c r="E69" s="51"/>
      <c r="F69" s="52"/>
      <c r="G69" s="53"/>
      <c r="H69" s="49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2"/>
      <c r="T69" s="53">
        <f t="shared" si="2"/>
        <v>0</v>
      </c>
      <c r="U69" s="53">
        <f t="shared" si="3"/>
        <v>0</v>
      </c>
      <c r="V69" s="53">
        <f t="shared" si="4"/>
        <v>0</v>
      </c>
      <c r="W69" s="53">
        <f t="shared" si="4"/>
        <v>0</v>
      </c>
      <c r="X69" s="53">
        <f t="shared" si="4"/>
        <v>0</v>
      </c>
      <c r="Y69" s="53">
        <f t="shared" si="1"/>
        <v>0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5">
      <c r="A70" s="77"/>
      <c r="B70" s="82" t="s">
        <v>120</v>
      </c>
      <c r="C70" s="72">
        <f>30*0.5*0.5/15</f>
        <v>0.5</v>
      </c>
      <c r="D70" s="46" t="s">
        <v>22</v>
      </c>
      <c r="E70" s="137">
        <v>350000</v>
      </c>
      <c r="F70" s="52">
        <f>+E70*C70</f>
        <v>175000</v>
      </c>
      <c r="G70" s="53"/>
      <c r="H70" s="49">
        <f>+F70</f>
        <v>175000</v>
      </c>
      <c r="I70" s="51"/>
      <c r="J70" s="51">
        <f>+H70</f>
        <v>175000</v>
      </c>
      <c r="K70" s="51"/>
      <c r="L70" s="51">
        <f>+J70</f>
        <v>175000</v>
      </c>
      <c r="M70" s="51"/>
      <c r="N70" s="51">
        <f>+L70</f>
        <v>175000</v>
      </c>
      <c r="O70" s="51"/>
      <c r="P70" s="51">
        <f>+N70</f>
        <v>175000</v>
      </c>
      <c r="Q70" s="51"/>
      <c r="R70" s="51">
        <f>+P70</f>
        <v>175000</v>
      </c>
      <c r="S70" s="52"/>
      <c r="T70" s="53">
        <f t="shared" si="2"/>
        <v>1050000</v>
      </c>
      <c r="U70" s="53">
        <f t="shared" si="3"/>
        <v>1050000</v>
      </c>
      <c r="V70" s="53">
        <f t="shared" si="4"/>
        <v>1050000</v>
      </c>
      <c r="W70" s="53">
        <f t="shared" si="4"/>
        <v>1050000</v>
      </c>
      <c r="X70" s="53">
        <f t="shared" si="4"/>
        <v>1050000</v>
      </c>
      <c r="Y70" s="53">
        <f t="shared" si="1"/>
        <v>5250000</v>
      </c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x14ac:dyDescent="0.25">
      <c r="A71" s="77"/>
      <c r="B71" s="82" t="s">
        <v>121</v>
      </c>
      <c r="C71" s="72">
        <f>30*0.5*0.5</f>
        <v>7.5</v>
      </c>
      <c r="D71" s="46" t="s">
        <v>25</v>
      </c>
      <c r="E71" s="137">
        <v>100000</v>
      </c>
      <c r="F71" s="52">
        <f>+E71*C71</f>
        <v>750000</v>
      </c>
      <c r="G71" s="53"/>
      <c r="H71" s="49">
        <f t="shared" ref="H71:J72" si="5">+F71</f>
        <v>750000</v>
      </c>
      <c r="I71" s="51"/>
      <c r="J71" s="51">
        <f t="shared" si="5"/>
        <v>750000</v>
      </c>
      <c r="K71" s="51"/>
      <c r="L71" s="51">
        <f>+J71</f>
        <v>750000</v>
      </c>
      <c r="M71" s="51"/>
      <c r="N71" s="51">
        <f>+L71</f>
        <v>750000</v>
      </c>
      <c r="O71" s="51"/>
      <c r="P71" s="51">
        <f>+N71</f>
        <v>750000</v>
      </c>
      <c r="Q71" s="51"/>
      <c r="R71" s="51">
        <f>+P71</f>
        <v>750000</v>
      </c>
      <c r="S71" s="52"/>
      <c r="T71" s="53">
        <f t="shared" si="2"/>
        <v>4500000</v>
      </c>
      <c r="U71" s="53">
        <f t="shared" si="3"/>
        <v>4500000</v>
      </c>
      <c r="V71" s="53">
        <f t="shared" si="4"/>
        <v>4500000</v>
      </c>
      <c r="W71" s="53">
        <f t="shared" si="4"/>
        <v>4500000</v>
      </c>
      <c r="X71" s="53">
        <f t="shared" si="4"/>
        <v>4500000</v>
      </c>
      <c r="Y71" s="53">
        <f t="shared" si="1"/>
        <v>22500000</v>
      </c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x14ac:dyDescent="0.25">
      <c r="A72" s="77"/>
      <c r="B72" s="81" t="s">
        <v>93</v>
      </c>
      <c r="C72" s="71">
        <f>0.3*0.3*30/0.5</f>
        <v>5.3999999999999995</v>
      </c>
      <c r="D72" s="46" t="s">
        <v>22</v>
      </c>
      <c r="E72" s="137">
        <f>200000/8</f>
        <v>25000</v>
      </c>
      <c r="F72" s="52">
        <f>+E72*C72</f>
        <v>135000</v>
      </c>
      <c r="G72" s="53"/>
      <c r="H72" s="49">
        <f t="shared" si="5"/>
        <v>135000</v>
      </c>
      <c r="I72" s="51"/>
      <c r="J72" s="51">
        <f t="shared" si="5"/>
        <v>135000</v>
      </c>
      <c r="K72" s="51"/>
      <c r="L72" s="51">
        <f>+J72</f>
        <v>135000</v>
      </c>
      <c r="M72" s="51"/>
      <c r="N72" s="51">
        <f>+L72</f>
        <v>135000</v>
      </c>
      <c r="O72" s="51"/>
      <c r="P72" s="51">
        <f>+N72</f>
        <v>135000</v>
      </c>
      <c r="Q72" s="51"/>
      <c r="R72" s="51">
        <f>+P72</f>
        <v>135000</v>
      </c>
      <c r="S72" s="52"/>
      <c r="T72" s="53">
        <f t="shared" si="2"/>
        <v>810000</v>
      </c>
      <c r="U72" s="53">
        <f t="shared" si="3"/>
        <v>810000</v>
      </c>
      <c r="V72" s="53">
        <f t="shared" si="4"/>
        <v>810000</v>
      </c>
      <c r="W72" s="53">
        <f t="shared" si="4"/>
        <v>810000</v>
      </c>
      <c r="X72" s="53">
        <f t="shared" si="4"/>
        <v>810000</v>
      </c>
      <c r="Y72" s="53">
        <f t="shared" si="1"/>
        <v>4050000</v>
      </c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25">
      <c r="A73" s="77"/>
      <c r="B73" s="81" t="s">
        <v>94</v>
      </c>
      <c r="C73" s="71"/>
      <c r="D73" s="46"/>
      <c r="E73" s="51"/>
      <c r="F73" s="52"/>
      <c r="G73" s="53"/>
      <c r="H73" s="49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53">
        <f t="shared" si="2"/>
        <v>0</v>
      </c>
      <c r="U73" s="53">
        <f t="shared" si="3"/>
        <v>0</v>
      </c>
      <c r="V73" s="53">
        <f t="shared" si="4"/>
        <v>0</v>
      </c>
      <c r="W73" s="53">
        <f t="shared" si="4"/>
        <v>0</v>
      </c>
      <c r="X73" s="53">
        <f t="shared" si="4"/>
        <v>0</v>
      </c>
      <c r="Y73" s="53">
        <f t="shared" si="1"/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25">
      <c r="A74" s="77"/>
      <c r="B74" s="81" t="s">
        <v>95</v>
      </c>
      <c r="C74" s="71"/>
      <c r="D74" s="46"/>
      <c r="E74" s="51"/>
      <c r="F74" s="52"/>
      <c r="G74" s="53"/>
      <c r="H74" s="49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2"/>
      <c r="T74" s="53">
        <f t="shared" si="2"/>
        <v>0</v>
      </c>
      <c r="U74" s="53">
        <f t="shared" si="3"/>
        <v>0</v>
      </c>
      <c r="V74" s="53">
        <f t="shared" si="4"/>
        <v>0</v>
      </c>
      <c r="W74" s="53">
        <f t="shared" si="4"/>
        <v>0</v>
      </c>
      <c r="X74" s="53">
        <f t="shared" si="4"/>
        <v>0</v>
      </c>
      <c r="Y74" s="53">
        <f t="shared" si="1"/>
        <v>0</v>
      </c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25">
      <c r="A75" s="77"/>
      <c r="B75" s="81" t="s">
        <v>96</v>
      </c>
      <c r="C75" s="132">
        <v>3</v>
      </c>
      <c r="D75" s="46" t="s">
        <v>39</v>
      </c>
      <c r="E75" s="137">
        <f>150000*10</f>
        <v>1500000</v>
      </c>
      <c r="F75" s="52">
        <f>+E75*C75</f>
        <v>4500000</v>
      </c>
      <c r="G75" s="53">
        <f>+F75/5</f>
        <v>900000</v>
      </c>
      <c r="H75" s="49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2"/>
      <c r="T75" s="53">
        <f t="shared" si="2"/>
        <v>900000</v>
      </c>
      <c r="U75" s="53">
        <f t="shared" si="3"/>
        <v>0</v>
      </c>
      <c r="V75" s="53">
        <f t="shared" si="4"/>
        <v>0</v>
      </c>
      <c r="W75" s="53">
        <f t="shared" si="4"/>
        <v>0</v>
      </c>
      <c r="X75" s="53">
        <f t="shared" si="4"/>
        <v>0</v>
      </c>
      <c r="Y75" s="53">
        <f t="shared" si="1"/>
        <v>900000</v>
      </c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77"/>
      <c r="B76" s="80" t="s">
        <v>1</v>
      </c>
      <c r="C76" s="71"/>
      <c r="D76" s="46"/>
      <c r="E76" s="51"/>
      <c r="F76" s="52"/>
      <c r="G76" s="53"/>
      <c r="H76" s="49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2"/>
      <c r="T76" s="53">
        <f t="shared" si="2"/>
        <v>0</v>
      </c>
      <c r="U76" s="53">
        <f t="shared" si="3"/>
        <v>0</v>
      </c>
      <c r="V76" s="53">
        <f t="shared" si="4"/>
        <v>0</v>
      </c>
      <c r="W76" s="53">
        <f t="shared" si="4"/>
        <v>0</v>
      </c>
      <c r="X76" s="53">
        <f t="shared" si="4"/>
        <v>0</v>
      </c>
      <c r="Y76" s="53">
        <f t="shared" si="1"/>
        <v>0</v>
      </c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25">
      <c r="A77" s="77"/>
      <c r="B77" s="81" t="s">
        <v>97</v>
      </c>
      <c r="C77" s="71"/>
      <c r="D77" s="46"/>
      <c r="E77" s="51"/>
      <c r="F77" s="52"/>
      <c r="G77" s="53"/>
      <c r="H77" s="49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2"/>
      <c r="T77" s="53">
        <f t="shared" si="2"/>
        <v>0</v>
      </c>
      <c r="U77" s="53">
        <f t="shared" si="3"/>
        <v>0</v>
      </c>
      <c r="V77" s="53">
        <f t="shared" si="4"/>
        <v>0</v>
      </c>
      <c r="W77" s="53">
        <f t="shared" si="4"/>
        <v>0</v>
      </c>
      <c r="X77" s="53">
        <f t="shared" si="4"/>
        <v>0</v>
      </c>
      <c r="Y77" s="53">
        <f t="shared" si="1"/>
        <v>0</v>
      </c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77"/>
      <c r="B78" s="81" t="s">
        <v>85</v>
      </c>
      <c r="C78" s="71"/>
      <c r="D78" s="46"/>
      <c r="E78" s="51"/>
      <c r="F78" s="52"/>
      <c r="G78" s="53"/>
      <c r="H78" s="49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2"/>
      <c r="T78" s="53">
        <f t="shared" si="2"/>
        <v>0</v>
      </c>
      <c r="U78" s="53">
        <f t="shared" si="3"/>
        <v>0</v>
      </c>
      <c r="V78" s="53">
        <f t="shared" si="4"/>
        <v>0</v>
      </c>
      <c r="W78" s="53">
        <f t="shared" si="4"/>
        <v>0</v>
      </c>
      <c r="X78" s="53">
        <f t="shared" si="4"/>
        <v>0</v>
      </c>
      <c r="Y78" s="53">
        <f t="shared" si="1"/>
        <v>0</v>
      </c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25">
      <c r="A79" s="77"/>
      <c r="B79" s="81" t="s">
        <v>98</v>
      </c>
      <c r="C79" s="51">
        <f>+C57*10000</f>
        <v>489420.74999999994</v>
      </c>
      <c r="D79" s="46" t="s">
        <v>35</v>
      </c>
      <c r="E79" s="137">
        <v>250</v>
      </c>
      <c r="F79" s="52">
        <f>+E79*C79</f>
        <v>122355187.49999999</v>
      </c>
      <c r="G79" s="53"/>
      <c r="H79" s="49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2"/>
      <c r="T79" s="53">
        <f t="shared" si="2"/>
        <v>0</v>
      </c>
      <c r="U79" s="53">
        <f t="shared" si="3"/>
        <v>0</v>
      </c>
      <c r="V79" s="53">
        <f t="shared" ref="V79:W81" si="6">+U79</f>
        <v>0</v>
      </c>
      <c r="W79" s="53">
        <f t="shared" si="6"/>
        <v>0</v>
      </c>
      <c r="X79" s="53">
        <f>+F79</f>
        <v>122355187.49999999</v>
      </c>
      <c r="Y79" s="53">
        <f t="shared" si="1"/>
        <v>122355187.49999999</v>
      </c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25">
      <c r="A80" s="77"/>
      <c r="B80" s="81" t="s">
        <v>63</v>
      </c>
      <c r="C80" s="71"/>
      <c r="D80" s="46"/>
      <c r="E80" s="51"/>
      <c r="F80" s="52"/>
      <c r="G80" s="53"/>
      <c r="H80" s="49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2"/>
      <c r="T80" s="53">
        <f t="shared" si="2"/>
        <v>0</v>
      </c>
      <c r="U80" s="53">
        <f t="shared" si="3"/>
        <v>0</v>
      </c>
      <c r="V80" s="53">
        <f t="shared" si="6"/>
        <v>0</v>
      </c>
      <c r="W80" s="53">
        <f t="shared" si="6"/>
        <v>0</v>
      </c>
      <c r="X80" s="53">
        <f>+W80</f>
        <v>0</v>
      </c>
      <c r="Y80" s="53">
        <f t="shared" si="1"/>
        <v>0</v>
      </c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25">
      <c r="A81" s="77"/>
      <c r="B81" s="80" t="s">
        <v>57</v>
      </c>
      <c r="C81" s="71"/>
      <c r="D81" s="46"/>
      <c r="E81" s="51"/>
      <c r="F81" s="52"/>
      <c r="G81" s="53"/>
      <c r="H81" s="49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2"/>
      <c r="T81" s="53">
        <f t="shared" si="2"/>
        <v>0</v>
      </c>
      <c r="U81" s="53">
        <f t="shared" si="3"/>
        <v>0</v>
      </c>
      <c r="V81" s="53">
        <f t="shared" si="6"/>
        <v>0</v>
      </c>
      <c r="W81" s="53">
        <f t="shared" si="6"/>
        <v>0</v>
      </c>
      <c r="X81" s="53">
        <f>+W81</f>
        <v>0</v>
      </c>
      <c r="Y81" s="53">
        <f t="shared" si="1"/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25">
      <c r="A82" s="77"/>
      <c r="B82" s="81" t="s">
        <v>99</v>
      </c>
      <c r="C82" s="133">
        <v>1</v>
      </c>
      <c r="D82" s="46" t="s">
        <v>39</v>
      </c>
      <c r="E82" s="137">
        <v>1500000</v>
      </c>
      <c r="F82" s="52">
        <f>+E82*C82</f>
        <v>1500000</v>
      </c>
      <c r="G82" s="53">
        <f>+F82</f>
        <v>1500000</v>
      </c>
      <c r="H82" s="49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2"/>
      <c r="T82" s="53">
        <f t="shared" si="2"/>
        <v>1500000</v>
      </c>
      <c r="U82" s="53">
        <f t="shared" si="3"/>
        <v>0</v>
      </c>
      <c r="V82" s="53">
        <f>+T82</f>
        <v>1500000</v>
      </c>
      <c r="W82" s="53">
        <v>0</v>
      </c>
      <c r="X82" s="53">
        <f>+V82</f>
        <v>1500000</v>
      </c>
      <c r="Y82" s="53">
        <f t="shared" si="1"/>
        <v>4500000</v>
      </c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25">
      <c r="A83" s="77"/>
      <c r="B83" s="80" t="s">
        <v>147</v>
      </c>
      <c r="C83" s="71"/>
      <c r="D83" s="46"/>
      <c r="E83" s="51"/>
      <c r="F83" s="52"/>
      <c r="G83" s="53"/>
      <c r="H83" s="49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2"/>
      <c r="T83" s="53"/>
      <c r="U83" s="53"/>
      <c r="V83" s="53"/>
      <c r="W83" s="53"/>
      <c r="X83" s="53"/>
      <c r="Y83" s="53">
        <f t="shared" si="1"/>
        <v>0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25">
      <c r="A84" s="77"/>
      <c r="B84" s="81" t="s">
        <v>317</v>
      </c>
      <c r="C84" s="71">
        <f>+(C15*C31*50+C16*C32*60+(C14*C30*50+C13*C29*30)+C12*C28*15+C17*C33*25)*(IF(C4="X",1,0))</f>
        <v>1085</v>
      </c>
      <c r="D84" s="46" t="s">
        <v>220</v>
      </c>
      <c r="E84" s="51">
        <f>+'DATOS BÁSICOS DE PARTIDA'!C8*1.3</f>
        <v>6214</v>
      </c>
      <c r="F84" s="52">
        <f>+E84*C84</f>
        <v>6742190</v>
      </c>
      <c r="G84" s="54"/>
      <c r="H84" s="49">
        <f>+F84*25</f>
        <v>168554750</v>
      </c>
      <c r="I84" s="51">
        <f>+H84</f>
        <v>168554750</v>
      </c>
      <c r="J84" s="51">
        <f t="shared" ref="J84:S84" si="7">+I84</f>
        <v>168554750</v>
      </c>
      <c r="K84" s="51">
        <f t="shared" si="7"/>
        <v>168554750</v>
      </c>
      <c r="L84" s="51">
        <f t="shared" si="7"/>
        <v>168554750</v>
      </c>
      <c r="M84" s="51">
        <f t="shared" si="7"/>
        <v>168554750</v>
      </c>
      <c r="N84" s="51">
        <f t="shared" si="7"/>
        <v>168554750</v>
      </c>
      <c r="O84" s="51">
        <f t="shared" si="7"/>
        <v>168554750</v>
      </c>
      <c r="P84" s="51">
        <f t="shared" si="7"/>
        <v>168554750</v>
      </c>
      <c r="Q84" s="51">
        <f t="shared" si="7"/>
        <v>168554750</v>
      </c>
      <c r="R84" s="51">
        <f t="shared" si="7"/>
        <v>168554750</v>
      </c>
      <c r="S84" s="51">
        <f t="shared" si="7"/>
        <v>168554750</v>
      </c>
      <c r="T84" s="53">
        <f>+G84+SUM(H84:S84)</f>
        <v>2022657000</v>
      </c>
      <c r="U84" s="53">
        <f>+SUM(H84:S84)</f>
        <v>2022657000</v>
      </c>
      <c r="V84" s="53">
        <f>+U84</f>
        <v>2022657000</v>
      </c>
      <c r="W84" s="53">
        <f>+V84</f>
        <v>2022657000</v>
      </c>
      <c r="X84" s="53">
        <f>+W84</f>
        <v>2022657000</v>
      </c>
      <c r="Y84" s="53">
        <f>SUM(T84:X84)</f>
        <v>10113285000</v>
      </c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25">
      <c r="A85" s="77"/>
      <c r="B85" s="81" t="s">
        <v>100</v>
      </c>
      <c r="C85" s="73">
        <f>ROUNDUP(((C45+C44)*C26*(IF(C3="X",1,0))+(C36+C35+C34)*C26*(IF(C4="X",1,0)))*2,0)</f>
        <v>180</v>
      </c>
      <c r="D85" s="46" t="s">
        <v>39</v>
      </c>
      <c r="E85" s="137">
        <v>90000</v>
      </c>
      <c r="F85" s="52">
        <f>+E85*C85</f>
        <v>16200000</v>
      </c>
      <c r="G85" s="53"/>
      <c r="H85" s="49">
        <f>+F85</f>
        <v>16200000</v>
      </c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2"/>
      <c r="T85" s="53">
        <f t="shared" ref="T85:T97" si="8">+G85+SUM(H85:S85)</f>
        <v>16200000</v>
      </c>
      <c r="U85" s="53">
        <f t="shared" ref="U85:U97" si="9">+SUM(H85:S85)</f>
        <v>16200000</v>
      </c>
      <c r="V85" s="53">
        <f t="shared" ref="V85:X97" si="10">+U85</f>
        <v>16200000</v>
      </c>
      <c r="W85" s="53">
        <f t="shared" si="10"/>
        <v>16200000</v>
      </c>
      <c r="X85" s="53">
        <f t="shared" si="10"/>
        <v>16200000</v>
      </c>
      <c r="Y85" s="53">
        <f t="shared" si="1"/>
        <v>81000000</v>
      </c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25">
      <c r="A86" s="77"/>
      <c r="B86" s="81" t="s">
        <v>101</v>
      </c>
      <c r="C86" s="73">
        <f>ROUNDUP(((C45+C44)*C26*(IF(C3="X",1,0))+(C36+C35+C34)*C26*(IF(C4="X",1,0)))*6,0)</f>
        <v>540</v>
      </c>
      <c r="D86" s="46" t="s">
        <v>39</v>
      </c>
      <c r="E86" s="137">
        <v>6000</v>
      </c>
      <c r="F86" s="52">
        <f t="shared" ref="F86:F94" si="11">+E86*C86</f>
        <v>3240000</v>
      </c>
      <c r="G86" s="53"/>
      <c r="H86" s="49">
        <f>+F86</f>
        <v>3240000</v>
      </c>
      <c r="I86" s="51">
        <f>+H86</f>
        <v>3240000</v>
      </c>
      <c r="J86" s="51">
        <f t="shared" ref="J86:S86" si="12">+H86</f>
        <v>3240000</v>
      </c>
      <c r="K86" s="51">
        <f t="shared" si="12"/>
        <v>3240000</v>
      </c>
      <c r="L86" s="51">
        <f t="shared" si="12"/>
        <v>3240000</v>
      </c>
      <c r="M86" s="51">
        <f t="shared" si="12"/>
        <v>3240000</v>
      </c>
      <c r="N86" s="51">
        <f t="shared" si="12"/>
        <v>3240000</v>
      </c>
      <c r="O86" s="51">
        <f t="shared" si="12"/>
        <v>3240000</v>
      </c>
      <c r="P86" s="51">
        <f t="shared" si="12"/>
        <v>3240000</v>
      </c>
      <c r="Q86" s="51">
        <f t="shared" si="12"/>
        <v>3240000</v>
      </c>
      <c r="R86" s="51">
        <f t="shared" si="12"/>
        <v>3240000</v>
      </c>
      <c r="S86" s="52">
        <f t="shared" si="12"/>
        <v>3240000</v>
      </c>
      <c r="T86" s="53">
        <f t="shared" si="8"/>
        <v>38880000</v>
      </c>
      <c r="U86" s="53">
        <f t="shared" si="9"/>
        <v>38880000</v>
      </c>
      <c r="V86" s="53">
        <f t="shared" si="10"/>
        <v>38880000</v>
      </c>
      <c r="W86" s="53">
        <f t="shared" si="10"/>
        <v>38880000</v>
      </c>
      <c r="X86" s="53">
        <f t="shared" si="10"/>
        <v>38880000</v>
      </c>
      <c r="Y86" s="53">
        <f t="shared" si="1"/>
        <v>194400000</v>
      </c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25">
      <c r="A87" s="77"/>
      <c r="B87" s="81" t="s">
        <v>102</v>
      </c>
      <c r="C87" s="73">
        <f>ROUNDUP(((C45+C44)*C26*(IF(C3="X",1,0))+(C36+C35+C34)*C26*(IF(C4="X",1,0))),0)</f>
        <v>90</v>
      </c>
      <c r="D87" s="46" t="s">
        <v>39</v>
      </c>
      <c r="E87" s="137">
        <v>150000</v>
      </c>
      <c r="F87" s="52">
        <f>+E87*C87</f>
        <v>13500000</v>
      </c>
      <c r="G87" s="53"/>
      <c r="H87" s="49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2"/>
      <c r="T87" s="53">
        <f t="shared" si="8"/>
        <v>0</v>
      </c>
      <c r="U87" s="53">
        <f t="shared" si="9"/>
        <v>0</v>
      </c>
      <c r="V87" s="53">
        <f t="shared" si="10"/>
        <v>0</v>
      </c>
      <c r="W87" s="53">
        <f t="shared" si="10"/>
        <v>0</v>
      </c>
      <c r="X87" s="53">
        <f t="shared" si="10"/>
        <v>0</v>
      </c>
      <c r="Y87" s="53">
        <f t="shared" si="1"/>
        <v>0</v>
      </c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25">
      <c r="A88" s="77"/>
      <c r="B88" s="81" t="s">
        <v>103</v>
      </c>
      <c r="C88" s="73">
        <f>ROUNDUP(((C44)*C26*(IF(C3="X",1,0)))*(C40+C38)/C42,0)</f>
        <v>0</v>
      </c>
      <c r="D88" s="46" t="s">
        <v>39</v>
      </c>
      <c r="E88" s="137">
        <v>25000</v>
      </c>
      <c r="F88" s="52">
        <f t="shared" si="11"/>
        <v>0</v>
      </c>
      <c r="G88" s="53"/>
      <c r="H88" s="49">
        <f>+F88</f>
        <v>0</v>
      </c>
      <c r="I88" s="51"/>
      <c r="J88" s="51"/>
      <c r="K88" s="51"/>
      <c r="L88" s="51"/>
      <c r="M88" s="51"/>
      <c r="N88" s="51">
        <f>+H88</f>
        <v>0</v>
      </c>
      <c r="O88" s="51"/>
      <c r="P88" s="51"/>
      <c r="Q88" s="51"/>
      <c r="R88" s="51"/>
      <c r="S88" s="52"/>
      <c r="T88" s="53">
        <f t="shared" si="8"/>
        <v>0</v>
      </c>
      <c r="U88" s="53">
        <f t="shared" si="9"/>
        <v>0</v>
      </c>
      <c r="V88" s="53">
        <f t="shared" si="10"/>
        <v>0</v>
      </c>
      <c r="W88" s="53">
        <f t="shared" si="10"/>
        <v>0</v>
      </c>
      <c r="X88" s="53">
        <f t="shared" si="10"/>
        <v>0</v>
      </c>
      <c r="Y88" s="53">
        <f t="shared" ref="Y88:Y105" si="13">SUM(T88:X88)</f>
        <v>0</v>
      </c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25">
      <c r="A89" s="77"/>
      <c r="B89" s="81" t="s">
        <v>104</v>
      </c>
      <c r="C89" s="73">
        <f>+C88</f>
        <v>0</v>
      </c>
      <c r="D89" s="46" t="s">
        <v>39</v>
      </c>
      <c r="E89" s="137">
        <v>30000</v>
      </c>
      <c r="F89" s="52">
        <f t="shared" si="11"/>
        <v>0</v>
      </c>
      <c r="G89" s="53"/>
      <c r="H89" s="49">
        <f>+F89</f>
        <v>0</v>
      </c>
      <c r="I89" s="51"/>
      <c r="J89" s="51"/>
      <c r="K89" s="51"/>
      <c r="L89" s="51"/>
      <c r="M89" s="51"/>
      <c r="N89" s="51">
        <f>+H89</f>
        <v>0</v>
      </c>
      <c r="O89" s="51"/>
      <c r="P89" s="51"/>
      <c r="Q89" s="51"/>
      <c r="R89" s="51"/>
      <c r="S89" s="52"/>
      <c r="T89" s="53">
        <f t="shared" si="8"/>
        <v>0</v>
      </c>
      <c r="U89" s="53">
        <f t="shared" si="9"/>
        <v>0</v>
      </c>
      <c r="V89" s="53">
        <f t="shared" si="10"/>
        <v>0</v>
      </c>
      <c r="W89" s="53">
        <f t="shared" si="10"/>
        <v>0</v>
      </c>
      <c r="X89" s="53">
        <f t="shared" si="10"/>
        <v>0</v>
      </c>
      <c r="Y89" s="53">
        <f t="shared" si="13"/>
        <v>0</v>
      </c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25">
      <c r="A90" s="77"/>
      <c r="B90" s="81" t="s">
        <v>105</v>
      </c>
      <c r="C90" s="73">
        <f>0.1*C89</f>
        <v>0</v>
      </c>
      <c r="D90" s="46" t="s">
        <v>39</v>
      </c>
      <c r="E90" s="137">
        <v>15000</v>
      </c>
      <c r="F90" s="52">
        <f t="shared" si="11"/>
        <v>0</v>
      </c>
      <c r="G90" s="53"/>
      <c r="H90" s="49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2"/>
      <c r="T90" s="53">
        <f t="shared" si="8"/>
        <v>0</v>
      </c>
      <c r="U90" s="53">
        <f t="shared" si="9"/>
        <v>0</v>
      </c>
      <c r="V90" s="53">
        <f t="shared" si="10"/>
        <v>0</v>
      </c>
      <c r="W90" s="53">
        <f t="shared" si="10"/>
        <v>0</v>
      </c>
      <c r="X90" s="53">
        <f t="shared" si="10"/>
        <v>0</v>
      </c>
      <c r="Y90" s="53">
        <f t="shared" si="13"/>
        <v>0</v>
      </c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25">
      <c r="A91" s="77"/>
      <c r="B91" s="81" t="s">
        <v>106</v>
      </c>
      <c r="C91" s="73">
        <f>+C90</f>
        <v>0</v>
      </c>
      <c r="D91" s="46" t="s">
        <v>39</v>
      </c>
      <c r="E91" s="137">
        <v>30000</v>
      </c>
      <c r="F91" s="52">
        <f t="shared" si="11"/>
        <v>0</v>
      </c>
      <c r="G91" s="53"/>
      <c r="H91" s="49">
        <f>+F91</f>
        <v>0</v>
      </c>
      <c r="I91" s="51"/>
      <c r="J91" s="51"/>
      <c r="K91" s="51"/>
      <c r="L91" s="51"/>
      <c r="M91" s="51"/>
      <c r="N91" s="51">
        <f>+H91</f>
        <v>0</v>
      </c>
      <c r="O91" s="51"/>
      <c r="P91" s="51"/>
      <c r="Q91" s="51"/>
      <c r="R91" s="51"/>
      <c r="S91" s="52"/>
      <c r="T91" s="53">
        <f t="shared" si="8"/>
        <v>0</v>
      </c>
      <c r="U91" s="53">
        <f t="shared" si="9"/>
        <v>0</v>
      </c>
      <c r="V91" s="53">
        <f t="shared" si="10"/>
        <v>0</v>
      </c>
      <c r="W91" s="53">
        <f t="shared" si="10"/>
        <v>0</v>
      </c>
      <c r="X91" s="53">
        <f t="shared" si="10"/>
        <v>0</v>
      </c>
      <c r="Y91" s="53">
        <f t="shared" si="13"/>
        <v>0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25">
      <c r="A92" s="77"/>
      <c r="B92" s="81" t="s">
        <v>107</v>
      </c>
      <c r="C92" s="73">
        <f>ROUNDUP(((C44)*C26*(IF(C3="X",1,0)))*(C40)/C42*0.5,0)</f>
        <v>0</v>
      </c>
      <c r="D92" s="46" t="s">
        <v>39</v>
      </c>
      <c r="E92" s="137">
        <v>150000</v>
      </c>
      <c r="F92" s="52">
        <f t="shared" si="11"/>
        <v>0</v>
      </c>
      <c r="G92" s="53"/>
      <c r="H92" s="49">
        <f>+F92</f>
        <v>0</v>
      </c>
      <c r="I92" s="51"/>
      <c r="J92" s="51"/>
      <c r="K92" s="51"/>
      <c r="L92" s="51"/>
      <c r="M92" s="51"/>
      <c r="N92" s="51">
        <f>+H92</f>
        <v>0</v>
      </c>
      <c r="O92" s="51"/>
      <c r="P92" s="51"/>
      <c r="Q92" s="51"/>
      <c r="R92" s="51"/>
      <c r="S92" s="52"/>
      <c r="T92" s="53">
        <f t="shared" si="8"/>
        <v>0</v>
      </c>
      <c r="U92" s="53">
        <f t="shared" si="9"/>
        <v>0</v>
      </c>
      <c r="V92" s="53">
        <f t="shared" si="10"/>
        <v>0</v>
      </c>
      <c r="W92" s="53">
        <f t="shared" si="10"/>
        <v>0</v>
      </c>
      <c r="X92" s="53">
        <f t="shared" si="10"/>
        <v>0</v>
      </c>
      <c r="Y92" s="53">
        <f t="shared" si="13"/>
        <v>0</v>
      </c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x14ac:dyDescent="0.25">
      <c r="A93" s="77"/>
      <c r="B93" s="81" t="s">
        <v>108</v>
      </c>
      <c r="C93" s="132">
        <v>5</v>
      </c>
      <c r="D93" s="46" t="s">
        <v>39</v>
      </c>
      <c r="E93" s="137">
        <v>250000</v>
      </c>
      <c r="F93" s="52">
        <f t="shared" si="11"/>
        <v>1250000</v>
      </c>
      <c r="G93" s="53"/>
      <c r="H93" s="49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2"/>
      <c r="T93" s="53">
        <f t="shared" si="8"/>
        <v>0</v>
      </c>
      <c r="U93" s="53">
        <f t="shared" si="9"/>
        <v>0</v>
      </c>
      <c r="V93" s="53">
        <f t="shared" si="10"/>
        <v>0</v>
      </c>
      <c r="W93" s="53">
        <f t="shared" si="10"/>
        <v>0</v>
      </c>
      <c r="X93" s="53">
        <f t="shared" si="10"/>
        <v>0</v>
      </c>
      <c r="Y93" s="53">
        <f t="shared" si="13"/>
        <v>0</v>
      </c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25">
      <c r="A94" s="77"/>
      <c r="B94" s="81" t="s">
        <v>109</v>
      </c>
      <c r="C94" s="132">
        <v>0</v>
      </c>
      <c r="D94" s="46" t="s">
        <v>39</v>
      </c>
      <c r="E94" s="137">
        <v>1500</v>
      </c>
      <c r="F94" s="52">
        <f t="shared" si="11"/>
        <v>0</v>
      </c>
      <c r="G94" s="53"/>
      <c r="H94" s="49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3">
        <f t="shared" si="8"/>
        <v>0</v>
      </c>
      <c r="U94" s="53">
        <f t="shared" si="9"/>
        <v>0</v>
      </c>
      <c r="V94" s="53">
        <f t="shared" si="10"/>
        <v>0</v>
      </c>
      <c r="W94" s="53">
        <f t="shared" si="10"/>
        <v>0</v>
      </c>
      <c r="X94" s="53">
        <f t="shared" si="10"/>
        <v>0</v>
      </c>
      <c r="Y94" s="53">
        <f t="shared" si="13"/>
        <v>0</v>
      </c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x14ac:dyDescent="0.25">
      <c r="A95" s="77"/>
      <c r="B95" s="81" t="s">
        <v>110</v>
      </c>
      <c r="C95" s="73">
        <f>ROUNDUP(((C44)*C26*(IF(C3="X",1,0)))*(C41+C39)/C42*0.4,0)</f>
        <v>0</v>
      </c>
      <c r="D95" s="46" t="s">
        <v>39</v>
      </c>
      <c r="E95" s="137">
        <v>100000</v>
      </c>
      <c r="F95" s="52">
        <f>+E95*C95</f>
        <v>0</v>
      </c>
      <c r="G95" s="53"/>
      <c r="H95" s="49">
        <f>+F95</f>
        <v>0</v>
      </c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2"/>
      <c r="T95" s="53">
        <f t="shared" si="8"/>
        <v>0</v>
      </c>
      <c r="U95" s="53">
        <f t="shared" si="9"/>
        <v>0</v>
      </c>
      <c r="V95" s="53">
        <f t="shared" si="10"/>
        <v>0</v>
      </c>
      <c r="W95" s="53">
        <f t="shared" si="10"/>
        <v>0</v>
      </c>
      <c r="X95" s="53">
        <f t="shared" si="10"/>
        <v>0</v>
      </c>
      <c r="Y95" s="53">
        <f t="shared" si="13"/>
        <v>0</v>
      </c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x14ac:dyDescent="0.25">
      <c r="A96" s="77"/>
      <c r="B96" s="81" t="s">
        <v>111</v>
      </c>
      <c r="C96" s="73">
        <f>ROUNDUP(((C44)*C26*(IF(C3="X",1,0)))*(C41+C39)/C42*0.15,0)</f>
        <v>0</v>
      </c>
      <c r="D96" s="46" t="s">
        <v>39</v>
      </c>
      <c r="E96" s="137">
        <v>750000</v>
      </c>
      <c r="F96" s="52">
        <f>+E96*C96</f>
        <v>0</v>
      </c>
      <c r="G96" s="53">
        <f>+F96</f>
        <v>0</v>
      </c>
      <c r="H96" s="49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2"/>
      <c r="T96" s="53">
        <f t="shared" si="8"/>
        <v>0</v>
      </c>
      <c r="U96" s="53">
        <f t="shared" si="9"/>
        <v>0</v>
      </c>
      <c r="V96" s="53">
        <f>+T96</f>
        <v>0</v>
      </c>
      <c r="W96" s="53">
        <v>0</v>
      </c>
      <c r="X96" s="53">
        <f>+V96</f>
        <v>0</v>
      </c>
      <c r="Y96" s="53">
        <f t="shared" si="13"/>
        <v>0</v>
      </c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x14ac:dyDescent="0.25">
      <c r="A97" s="77"/>
      <c r="B97" s="81" t="s">
        <v>63</v>
      </c>
      <c r="C97" s="132">
        <v>0</v>
      </c>
      <c r="D97" s="46" t="s">
        <v>39</v>
      </c>
      <c r="E97" s="137">
        <v>0</v>
      </c>
      <c r="F97" s="52">
        <f>+E97*C97</f>
        <v>0</v>
      </c>
      <c r="G97" s="53"/>
      <c r="H97" s="49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2"/>
      <c r="T97" s="53">
        <f t="shared" si="8"/>
        <v>0</v>
      </c>
      <c r="U97" s="53">
        <f t="shared" si="9"/>
        <v>0</v>
      </c>
      <c r="V97" s="53">
        <f t="shared" si="10"/>
        <v>0</v>
      </c>
      <c r="W97" s="53">
        <f t="shared" si="10"/>
        <v>0</v>
      </c>
      <c r="X97" s="53">
        <f t="shared" si="10"/>
        <v>0</v>
      </c>
      <c r="Y97" s="53">
        <f t="shared" si="13"/>
        <v>0</v>
      </c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x14ac:dyDescent="0.25">
      <c r="A98" s="77"/>
      <c r="B98" s="80" t="s">
        <v>137</v>
      </c>
      <c r="C98" s="71"/>
      <c r="D98" s="46"/>
      <c r="E98" s="51"/>
      <c r="F98" s="52"/>
      <c r="G98" s="53"/>
      <c r="H98" s="49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2"/>
      <c r="T98" s="53"/>
      <c r="U98" s="53"/>
      <c r="V98" s="53"/>
      <c r="W98" s="53"/>
      <c r="X98" s="53"/>
      <c r="Y98" s="53">
        <f t="shared" si="13"/>
        <v>0</v>
      </c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x14ac:dyDescent="0.25">
      <c r="A99" s="77"/>
      <c r="B99" s="81" t="s">
        <v>112</v>
      </c>
      <c r="C99" s="71">
        <f>+((C45)*(IF(C3="X",1,0))+(C35)*(IF(C4="X",1,0)))</f>
        <v>3</v>
      </c>
      <c r="D99" s="46" t="s">
        <v>54</v>
      </c>
      <c r="E99" s="137">
        <v>250000</v>
      </c>
      <c r="F99" s="52">
        <f t="shared" ref="F99:F105" si="14">+E99*C99</f>
        <v>750000</v>
      </c>
      <c r="G99" s="53">
        <f>+F99/5</f>
        <v>150000</v>
      </c>
      <c r="H99" s="49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2"/>
      <c r="T99" s="53">
        <f t="shared" ref="T99:T111" si="15">+G99+SUM(H99:S99)</f>
        <v>150000</v>
      </c>
      <c r="U99" s="53">
        <f t="shared" ref="U99:U111" si="16">+SUM(H99:S99)</f>
        <v>0</v>
      </c>
      <c r="V99" s="53">
        <f t="shared" ref="V99:X111" si="17">+U99</f>
        <v>0</v>
      </c>
      <c r="W99" s="53">
        <f t="shared" si="17"/>
        <v>0</v>
      </c>
      <c r="X99" s="53">
        <f t="shared" si="17"/>
        <v>0</v>
      </c>
      <c r="Y99" s="53">
        <f t="shared" si="13"/>
        <v>150000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x14ac:dyDescent="0.25">
      <c r="A100" s="77"/>
      <c r="B100" s="81" t="s">
        <v>113</v>
      </c>
      <c r="C100" s="51">
        <f>+C99*3</f>
        <v>9</v>
      </c>
      <c r="D100" s="47" t="s">
        <v>54</v>
      </c>
      <c r="E100" s="137">
        <v>120000</v>
      </c>
      <c r="F100" s="52">
        <f t="shared" si="14"/>
        <v>1080000</v>
      </c>
      <c r="G100" s="53">
        <f>+F100/5</f>
        <v>216000</v>
      </c>
      <c r="H100" s="49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2"/>
      <c r="T100" s="53">
        <f t="shared" si="15"/>
        <v>216000</v>
      </c>
      <c r="U100" s="53">
        <f t="shared" si="16"/>
        <v>0</v>
      </c>
      <c r="V100" s="53">
        <f t="shared" si="17"/>
        <v>0</v>
      </c>
      <c r="W100" s="53">
        <f t="shared" si="17"/>
        <v>0</v>
      </c>
      <c r="X100" s="53">
        <f t="shared" si="17"/>
        <v>0</v>
      </c>
      <c r="Y100" s="53">
        <f t="shared" si="13"/>
        <v>216000</v>
      </c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x14ac:dyDescent="0.25">
      <c r="A101" s="77"/>
      <c r="B101" s="81" t="s">
        <v>114</v>
      </c>
      <c r="C101" s="51">
        <f>+ROUNDUP(C99*0.5,0)</f>
        <v>2</v>
      </c>
      <c r="D101" s="47" t="s">
        <v>54</v>
      </c>
      <c r="E101" s="137">
        <v>450000</v>
      </c>
      <c r="F101" s="52">
        <f t="shared" si="14"/>
        <v>900000</v>
      </c>
      <c r="G101" s="53">
        <f>+F101/5</f>
        <v>180000</v>
      </c>
      <c r="H101" s="49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2"/>
      <c r="T101" s="53">
        <f t="shared" si="15"/>
        <v>180000</v>
      </c>
      <c r="U101" s="53">
        <f t="shared" si="16"/>
        <v>0</v>
      </c>
      <c r="V101" s="53">
        <f t="shared" si="17"/>
        <v>0</v>
      </c>
      <c r="W101" s="53">
        <f t="shared" si="17"/>
        <v>0</v>
      </c>
      <c r="X101" s="53">
        <f t="shared" si="17"/>
        <v>0</v>
      </c>
      <c r="Y101" s="53">
        <f t="shared" si="13"/>
        <v>180000</v>
      </c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25">
      <c r="A102" s="77"/>
      <c r="B102" s="81" t="s">
        <v>115</v>
      </c>
      <c r="C102" s="51">
        <f>((C35)*(IF(C4="X",1,0)))</f>
        <v>3</v>
      </c>
      <c r="D102" s="47" t="s">
        <v>54</v>
      </c>
      <c r="E102" s="137">
        <v>2850000</v>
      </c>
      <c r="F102" s="52">
        <f>+E102*C102</f>
        <v>8550000</v>
      </c>
      <c r="G102" s="53">
        <f>+F102/5</f>
        <v>1710000</v>
      </c>
      <c r="H102" s="49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2"/>
      <c r="T102" s="53">
        <f t="shared" si="15"/>
        <v>1710000</v>
      </c>
      <c r="U102" s="53">
        <f t="shared" si="16"/>
        <v>0</v>
      </c>
      <c r="V102" s="53">
        <f t="shared" si="17"/>
        <v>0</v>
      </c>
      <c r="W102" s="53">
        <f t="shared" si="17"/>
        <v>0</v>
      </c>
      <c r="X102" s="53">
        <f t="shared" si="17"/>
        <v>0</v>
      </c>
      <c r="Y102" s="53">
        <f t="shared" si="13"/>
        <v>1710000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x14ac:dyDescent="0.25">
      <c r="A103" s="77"/>
      <c r="B103" s="81" t="s">
        <v>116</v>
      </c>
      <c r="C103" s="134">
        <v>1</v>
      </c>
      <c r="D103" s="47" t="s">
        <v>54</v>
      </c>
      <c r="E103" s="137">
        <v>25000</v>
      </c>
      <c r="F103" s="52">
        <f t="shared" si="14"/>
        <v>25000</v>
      </c>
      <c r="G103" s="53"/>
      <c r="H103" s="49">
        <f>+F103</f>
        <v>25000</v>
      </c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3">
        <f t="shared" si="15"/>
        <v>25000</v>
      </c>
      <c r="U103" s="53">
        <f t="shared" si="16"/>
        <v>25000</v>
      </c>
      <c r="V103" s="53">
        <f t="shared" si="17"/>
        <v>25000</v>
      </c>
      <c r="W103" s="53">
        <f t="shared" si="17"/>
        <v>25000</v>
      </c>
      <c r="X103" s="53">
        <f t="shared" si="17"/>
        <v>25000</v>
      </c>
      <c r="Y103" s="53">
        <f t="shared" si="13"/>
        <v>125000</v>
      </c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x14ac:dyDescent="0.25">
      <c r="A104" s="77"/>
      <c r="B104" s="81" t="s">
        <v>117</v>
      </c>
      <c r="C104" s="134">
        <v>1</v>
      </c>
      <c r="D104" s="47" t="s">
        <v>55</v>
      </c>
      <c r="E104" s="137">
        <v>10000</v>
      </c>
      <c r="F104" s="52">
        <f t="shared" si="14"/>
        <v>10000</v>
      </c>
      <c r="G104" s="53"/>
      <c r="H104" s="49">
        <f>+F104</f>
        <v>10000</v>
      </c>
      <c r="I104" s="51">
        <f>+H104</f>
        <v>10000</v>
      </c>
      <c r="J104" s="51">
        <f t="shared" ref="J104:S104" si="18">+I104</f>
        <v>10000</v>
      </c>
      <c r="K104" s="51">
        <f t="shared" si="18"/>
        <v>10000</v>
      </c>
      <c r="L104" s="51">
        <f t="shared" si="18"/>
        <v>10000</v>
      </c>
      <c r="M104" s="51">
        <f t="shared" si="18"/>
        <v>10000</v>
      </c>
      <c r="N104" s="51">
        <f t="shared" si="18"/>
        <v>10000</v>
      </c>
      <c r="O104" s="51">
        <f t="shared" si="18"/>
        <v>10000</v>
      </c>
      <c r="P104" s="51">
        <f t="shared" si="18"/>
        <v>10000</v>
      </c>
      <c r="Q104" s="51">
        <f t="shared" si="18"/>
        <v>10000</v>
      </c>
      <c r="R104" s="51">
        <f t="shared" si="18"/>
        <v>10000</v>
      </c>
      <c r="S104" s="51">
        <f t="shared" si="18"/>
        <v>10000</v>
      </c>
      <c r="T104" s="53">
        <f t="shared" si="15"/>
        <v>120000</v>
      </c>
      <c r="U104" s="53">
        <f t="shared" si="16"/>
        <v>120000</v>
      </c>
      <c r="V104" s="53">
        <f t="shared" si="17"/>
        <v>120000</v>
      </c>
      <c r="W104" s="53">
        <f t="shared" si="17"/>
        <v>120000</v>
      </c>
      <c r="X104" s="53">
        <f t="shared" si="17"/>
        <v>120000</v>
      </c>
      <c r="Y104" s="53">
        <f t="shared" si="13"/>
        <v>600000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x14ac:dyDescent="0.25">
      <c r="A105" s="77"/>
      <c r="B105" s="81" t="s">
        <v>63</v>
      </c>
      <c r="C105" s="134">
        <v>0</v>
      </c>
      <c r="D105" s="47" t="s">
        <v>52</v>
      </c>
      <c r="E105" s="137">
        <v>0</v>
      </c>
      <c r="F105" s="52">
        <f t="shared" si="14"/>
        <v>0</v>
      </c>
      <c r="G105" s="53"/>
      <c r="H105" s="49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2"/>
      <c r="T105" s="53">
        <f t="shared" si="15"/>
        <v>0</v>
      </c>
      <c r="U105" s="53">
        <f t="shared" si="16"/>
        <v>0</v>
      </c>
      <c r="V105" s="53">
        <f t="shared" si="17"/>
        <v>0</v>
      </c>
      <c r="W105" s="53">
        <f t="shared" si="17"/>
        <v>0</v>
      </c>
      <c r="X105" s="53">
        <f t="shared" si="17"/>
        <v>0</v>
      </c>
      <c r="Y105" s="53">
        <f t="shared" si="13"/>
        <v>0</v>
      </c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x14ac:dyDescent="0.25">
      <c r="A106" s="84"/>
      <c r="B106" s="80" t="s">
        <v>196</v>
      </c>
      <c r="C106" s="28"/>
      <c r="D106" s="28"/>
      <c r="E106" s="28"/>
      <c r="F106" s="29"/>
      <c r="G106" s="33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7"/>
      <c r="U106" s="33"/>
      <c r="V106" s="28"/>
      <c r="W106" s="33"/>
      <c r="X106" s="27"/>
      <c r="Y106" s="33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1:40" x14ac:dyDescent="0.25">
      <c r="A107" s="84"/>
      <c r="B107" s="81" t="s">
        <v>199</v>
      </c>
      <c r="C107" s="28">
        <f>1*(IF(C4="X",1,0))</f>
        <v>1</v>
      </c>
      <c r="D107" s="28" t="s">
        <v>40</v>
      </c>
      <c r="E107" s="28">
        <f>0.2*C18/12</f>
        <v>78411666.666666672</v>
      </c>
      <c r="F107" s="29">
        <f>+E107*C107</f>
        <v>78411666.666666672</v>
      </c>
      <c r="G107" s="33"/>
      <c r="H107" s="27">
        <f>+F107</f>
        <v>78411666.666666672</v>
      </c>
      <c r="I107" s="28">
        <f t="shared" ref="I107:S107" si="19">+H107</f>
        <v>78411666.666666672</v>
      </c>
      <c r="J107" s="28">
        <f t="shared" si="19"/>
        <v>78411666.666666672</v>
      </c>
      <c r="K107" s="28">
        <f t="shared" si="19"/>
        <v>78411666.666666672</v>
      </c>
      <c r="L107" s="28">
        <f t="shared" si="19"/>
        <v>78411666.666666672</v>
      </c>
      <c r="M107" s="28">
        <f t="shared" si="19"/>
        <v>78411666.666666672</v>
      </c>
      <c r="N107" s="28">
        <f t="shared" si="19"/>
        <v>78411666.666666672</v>
      </c>
      <c r="O107" s="28">
        <f t="shared" si="19"/>
        <v>78411666.666666672</v>
      </c>
      <c r="P107" s="28">
        <f t="shared" si="19"/>
        <v>78411666.666666672</v>
      </c>
      <c r="Q107" s="28">
        <f t="shared" si="19"/>
        <v>78411666.666666672</v>
      </c>
      <c r="R107" s="28">
        <f t="shared" si="19"/>
        <v>78411666.666666672</v>
      </c>
      <c r="S107" s="29">
        <f t="shared" si="19"/>
        <v>78411666.666666672</v>
      </c>
      <c r="T107" s="53">
        <f>+G107+SUM(H107:S107)</f>
        <v>940939999.99999988</v>
      </c>
      <c r="U107" s="53">
        <f>+SUM(H107:S107)</f>
        <v>940939999.99999988</v>
      </c>
      <c r="V107" s="28">
        <f>+U107</f>
        <v>940939999.99999988</v>
      </c>
      <c r="W107" s="33">
        <f>+V107</f>
        <v>940939999.99999988</v>
      </c>
      <c r="X107" s="27">
        <f>+W107</f>
        <v>940939999.99999988</v>
      </c>
      <c r="Y107" s="33">
        <f>SUM(T107:X107)</f>
        <v>4704699999.999999</v>
      </c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40" x14ac:dyDescent="0.25">
      <c r="A108" s="84"/>
      <c r="B108" s="113" t="s">
        <v>197</v>
      </c>
      <c r="C108" s="28"/>
      <c r="D108" s="28"/>
      <c r="E108" s="28"/>
      <c r="F108" s="29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7"/>
      <c r="U108" s="33"/>
      <c r="V108" s="28"/>
      <c r="W108" s="33"/>
      <c r="X108" s="27"/>
      <c r="Y108" s="33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1:40" x14ac:dyDescent="0.25">
      <c r="A109" s="84"/>
      <c r="B109" s="81" t="s">
        <v>200</v>
      </c>
      <c r="C109" s="28">
        <f>1*(IF(C4="X",1,0))</f>
        <v>1</v>
      </c>
      <c r="D109" s="28" t="s">
        <v>40</v>
      </c>
      <c r="E109" s="28">
        <f>C18*0.17/2/12</f>
        <v>33324958.333333332</v>
      </c>
      <c r="F109" s="29">
        <f>+E109*C109</f>
        <v>33324958.333333332</v>
      </c>
      <c r="G109" s="33"/>
      <c r="H109" s="27">
        <f>+F109</f>
        <v>33324958.333333332</v>
      </c>
      <c r="I109" s="28">
        <f t="shared" ref="I109:S109" si="20">+H109</f>
        <v>33324958.333333332</v>
      </c>
      <c r="J109" s="28">
        <f t="shared" si="20"/>
        <v>33324958.333333332</v>
      </c>
      <c r="K109" s="28">
        <f t="shared" si="20"/>
        <v>33324958.333333332</v>
      </c>
      <c r="L109" s="28">
        <f t="shared" si="20"/>
        <v>33324958.333333332</v>
      </c>
      <c r="M109" s="28">
        <f t="shared" si="20"/>
        <v>33324958.333333332</v>
      </c>
      <c r="N109" s="28">
        <f t="shared" si="20"/>
        <v>33324958.333333332</v>
      </c>
      <c r="O109" s="28">
        <f t="shared" si="20"/>
        <v>33324958.333333332</v>
      </c>
      <c r="P109" s="28">
        <f t="shared" si="20"/>
        <v>33324958.333333332</v>
      </c>
      <c r="Q109" s="28">
        <f t="shared" si="20"/>
        <v>33324958.333333332</v>
      </c>
      <c r="R109" s="28">
        <f t="shared" si="20"/>
        <v>33324958.333333332</v>
      </c>
      <c r="S109" s="29">
        <f t="shared" si="20"/>
        <v>33324958.333333332</v>
      </c>
      <c r="T109" s="53">
        <f>+G109+SUM(H109:S109)</f>
        <v>399899499.99999994</v>
      </c>
      <c r="U109" s="53">
        <f>+SUM(H109:S109)</f>
        <v>399899499.99999994</v>
      </c>
      <c r="V109" s="28">
        <v>0</v>
      </c>
      <c r="W109" s="33">
        <v>0</v>
      </c>
      <c r="X109" s="27">
        <v>0</v>
      </c>
      <c r="Y109" s="33">
        <f>SUM(T109:X109)</f>
        <v>799798999.99999988</v>
      </c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</row>
    <row r="110" spans="1:40" x14ac:dyDescent="0.25">
      <c r="A110" s="77"/>
      <c r="B110" s="80" t="s">
        <v>198</v>
      </c>
      <c r="C110" s="51"/>
      <c r="D110" s="47"/>
      <c r="E110" s="51"/>
      <c r="F110" s="52"/>
      <c r="G110" s="53"/>
      <c r="H110" s="49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2"/>
      <c r="T110" s="53">
        <f t="shared" si="15"/>
        <v>0</v>
      </c>
      <c r="U110" s="53">
        <f t="shared" si="16"/>
        <v>0</v>
      </c>
      <c r="V110" s="53">
        <f t="shared" si="17"/>
        <v>0</v>
      </c>
      <c r="W110" s="53">
        <f t="shared" si="17"/>
        <v>0</v>
      </c>
      <c r="X110" s="53">
        <f t="shared" si="17"/>
        <v>0</v>
      </c>
      <c r="Y110" s="53">
        <f>SUM(T110:X110)</f>
        <v>0</v>
      </c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x14ac:dyDescent="0.25">
      <c r="A111" s="77"/>
      <c r="B111" s="83" t="s">
        <v>118</v>
      </c>
      <c r="C111" s="139">
        <v>0</v>
      </c>
      <c r="D111" s="63" t="s">
        <v>40</v>
      </c>
      <c r="E111" s="64">
        <f>SUM(E112:E118)</f>
        <v>4471222.666666666</v>
      </c>
      <c r="F111" s="65">
        <f>+E111*C111</f>
        <v>0</v>
      </c>
      <c r="G111" s="53"/>
      <c r="H111" s="50">
        <f>+F111</f>
        <v>0</v>
      </c>
      <c r="I111" s="55">
        <f t="shared" ref="I111:S111" si="21">+H111</f>
        <v>0</v>
      </c>
      <c r="J111" s="55">
        <f t="shared" si="21"/>
        <v>0</v>
      </c>
      <c r="K111" s="55">
        <f t="shared" si="21"/>
        <v>0</v>
      </c>
      <c r="L111" s="55">
        <f t="shared" si="21"/>
        <v>0</v>
      </c>
      <c r="M111" s="55">
        <f t="shared" si="21"/>
        <v>0</v>
      </c>
      <c r="N111" s="55">
        <f t="shared" si="21"/>
        <v>0</v>
      </c>
      <c r="O111" s="55">
        <f t="shared" si="21"/>
        <v>0</v>
      </c>
      <c r="P111" s="55">
        <f t="shared" si="21"/>
        <v>0</v>
      </c>
      <c r="Q111" s="55">
        <f t="shared" si="21"/>
        <v>0</v>
      </c>
      <c r="R111" s="55">
        <f t="shared" si="21"/>
        <v>0</v>
      </c>
      <c r="S111" s="56">
        <f t="shared" si="21"/>
        <v>0</v>
      </c>
      <c r="T111" s="53">
        <f t="shared" si="15"/>
        <v>0</v>
      </c>
      <c r="U111" s="53">
        <f t="shared" si="16"/>
        <v>0</v>
      </c>
      <c r="V111" s="55">
        <f t="shared" si="17"/>
        <v>0</v>
      </c>
      <c r="W111" s="57">
        <f t="shared" si="17"/>
        <v>0</v>
      </c>
      <c r="X111" s="50">
        <f t="shared" si="17"/>
        <v>0</v>
      </c>
      <c r="Y111" s="57">
        <f>SUM(T111:X111)</f>
        <v>0</v>
      </c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x14ac:dyDescent="0.25">
      <c r="A112" s="84"/>
      <c r="B112" s="82" t="s">
        <v>126</v>
      </c>
      <c r="C112" s="138">
        <v>1</v>
      </c>
      <c r="D112" s="48" t="s">
        <v>40</v>
      </c>
      <c r="E112" s="137">
        <v>3500000</v>
      </c>
      <c r="F112" s="52"/>
      <c r="G112" s="57"/>
      <c r="H112" s="50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6"/>
      <c r="T112" s="50"/>
      <c r="U112" s="57"/>
      <c r="V112" s="55"/>
      <c r="W112" s="57"/>
      <c r="X112" s="50"/>
      <c r="Y112" s="57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</row>
    <row r="113" spans="1:40" x14ac:dyDescent="0.25">
      <c r="A113" s="84"/>
      <c r="B113" s="82" t="s">
        <v>127</v>
      </c>
      <c r="C113" s="138">
        <v>1</v>
      </c>
      <c r="D113" s="48" t="s">
        <v>40</v>
      </c>
      <c r="E113" s="51">
        <f>+E112/12</f>
        <v>291666.66666666669</v>
      </c>
      <c r="F113" s="52"/>
      <c r="G113" s="57"/>
      <c r="H113" s="50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6"/>
      <c r="T113" s="50"/>
      <c r="U113" s="57"/>
      <c r="V113" s="55"/>
      <c r="W113" s="57"/>
      <c r="X113" s="50"/>
      <c r="Y113" s="57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</row>
    <row r="114" spans="1:40" x14ac:dyDescent="0.25">
      <c r="A114" s="84"/>
      <c r="B114" s="82" t="s">
        <v>134</v>
      </c>
      <c r="C114" s="138">
        <v>1</v>
      </c>
      <c r="D114" s="48" t="s">
        <v>40</v>
      </c>
      <c r="E114" s="137">
        <v>102056</v>
      </c>
      <c r="F114" s="56"/>
      <c r="G114" s="57"/>
      <c r="H114" s="50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6"/>
      <c r="T114" s="50"/>
      <c r="U114" s="57"/>
      <c r="V114" s="55"/>
      <c r="W114" s="57"/>
      <c r="X114" s="50"/>
      <c r="Y114" s="57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1:40" x14ac:dyDescent="0.25">
      <c r="A115" s="84"/>
      <c r="B115" s="82" t="s">
        <v>130</v>
      </c>
      <c r="C115" s="138">
        <v>1</v>
      </c>
      <c r="D115" s="48" t="s">
        <v>40</v>
      </c>
      <c r="E115" s="137">
        <v>0</v>
      </c>
      <c r="F115" s="56"/>
      <c r="G115" s="57"/>
      <c r="H115" s="50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6"/>
      <c r="T115" s="50"/>
      <c r="U115" s="57"/>
      <c r="V115" s="55"/>
      <c r="W115" s="57"/>
      <c r="X115" s="50"/>
      <c r="Y115" s="57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1:40" x14ac:dyDescent="0.25">
      <c r="A116" s="84"/>
      <c r="B116" s="82" t="s">
        <v>131</v>
      </c>
      <c r="C116" s="138">
        <v>1</v>
      </c>
      <c r="D116" s="48" t="s">
        <v>40</v>
      </c>
      <c r="E116" s="137">
        <v>0</v>
      </c>
      <c r="F116" s="56"/>
      <c r="G116" s="57"/>
      <c r="H116" s="50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6"/>
      <c r="T116" s="50"/>
      <c r="U116" s="57"/>
      <c r="V116" s="55"/>
      <c r="W116" s="57"/>
      <c r="X116" s="50"/>
      <c r="Y116" s="57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</row>
    <row r="117" spans="1:40" x14ac:dyDescent="0.25">
      <c r="A117" s="84"/>
      <c r="B117" s="82" t="s">
        <v>132</v>
      </c>
      <c r="C117" s="138">
        <v>1</v>
      </c>
      <c r="D117" s="48" t="s">
        <v>40</v>
      </c>
      <c r="E117" s="137">
        <v>0</v>
      </c>
      <c r="F117" s="56"/>
      <c r="G117" s="57"/>
      <c r="H117" s="50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6"/>
      <c r="T117" s="50"/>
      <c r="U117" s="57"/>
      <c r="V117" s="55"/>
      <c r="W117" s="57"/>
      <c r="X117" s="50"/>
      <c r="Y117" s="57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</row>
    <row r="118" spans="1:40" x14ac:dyDescent="0.25">
      <c r="A118" s="84"/>
      <c r="B118" s="82" t="s">
        <v>128</v>
      </c>
      <c r="C118" s="138">
        <v>1</v>
      </c>
      <c r="D118" s="48" t="s">
        <v>40</v>
      </c>
      <c r="E118" s="51">
        <f>0.165*E112</f>
        <v>577500</v>
      </c>
      <c r="F118" s="56"/>
      <c r="G118" s="57"/>
      <c r="H118" s="50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6"/>
      <c r="T118" s="50"/>
      <c r="U118" s="57"/>
      <c r="V118" s="55"/>
      <c r="W118" s="57"/>
      <c r="X118" s="50"/>
      <c r="Y118" s="57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</row>
    <row r="119" spans="1:40" x14ac:dyDescent="0.25">
      <c r="A119" s="77"/>
      <c r="B119" s="83" t="s">
        <v>129</v>
      </c>
      <c r="C119" s="74">
        <f>0.5+(1)*(IF(C4="X",1,0))</f>
        <v>1.5</v>
      </c>
      <c r="D119" s="63" t="s">
        <v>40</v>
      </c>
      <c r="E119" s="64">
        <f>SUM(E120:E126)</f>
        <v>3222889.3333333335</v>
      </c>
      <c r="F119" s="65">
        <f>+E119*C119</f>
        <v>4834334</v>
      </c>
      <c r="G119" s="53"/>
      <c r="H119" s="50">
        <f>+F119</f>
        <v>4834334</v>
      </c>
      <c r="I119" s="55">
        <f t="shared" ref="I119:S119" si="22">+H119</f>
        <v>4834334</v>
      </c>
      <c r="J119" s="55">
        <f t="shared" si="22"/>
        <v>4834334</v>
      </c>
      <c r="K119" s="55">
        <f t="shared" si="22"/>
        <v>4834334</v>
      </c>
      <c r="L119" s="55">
        <f t="shared" si="22"/>
        <v>4834334</v>
      </c>
      <c r="M119" s="55">
        <f t="shared" si="22"/>
        <v>4834334</v>
      </c>
      <c r="N119" s="55">
        <f t="shared" si="22"/>
        <v>4834334</v>
      </c>
      <c r="O119" s="55">
        <f t="shared" si="22"/>
        <v>4834334</v>
      </c>
      <c r="P119" s="55">
        <f t="shared" si="22"/>
        <v>4834334</v>
      </c>
      <c r="Q119" s="55">
        <f t="shared" si="22"/>
        <v>4834334</v>
      </c>
      <c r="R119" s="55">
        <f t="shared" si="22"/>
        <v>4834334</v>
      </c>
      <c r="S119" s="56">
        <f t="shared" si="22"/>
        <v>4834334</v>
      </c>
      <c r="T119" s="53">
        <f>+G119+SUM(H119:S119)</f>
        <v>58012008</v>
      </c>
      <c r="U119" s="53">
        <f>+SUM(H119:S119)</f>
        <v>58012008</v>
      </c>
      <c r="V119" s="55">
        <f>+U119</f>
        <v>58012008</v>
      </c>
      <c r="W119" s="57">
        <f>+V119</f>
        <v>58012008</v>
      </c>
      <c r="X119" s="50">
        <f>+W119</f>
        <v>58012008</v>
      </c>
      <c r="Y119" s="57">
        <f>SUM(T119:X119)</f>
        <v>290060040</v>
      </c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x14ac:dyDescent="0.25">
      <c r="A120" s="84"/>
      <c r="B120" s="82" t="s">
        <v>126</v>
      </c>
      <c r="C120" s="138">
        <v>1</v>
      </c>
      <c r="D120" s="48" t="s">
        <v>40</v>
      </c>
      <c r="E120" s="137">
        <v>2500000</v>
      </c>
      <c r="F120" s="52"/>
      <c r="G120" s="57"/>
      <c r="H120" s="50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6"/>
      <c r="T120" s="50"/>
      <c r="U120" s="57"/>
      <c r="V120" s="55"/>
      <c r="W120" s="57"/>
      <c r="X120" s="50"/>
      <c r="Y120" s="57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</row>
    <row r="121" spans="1:40" x14ac:dyDescent="0.25">
      <c r="A121" s="84"/>
      <c r="B121" s="82" t="s">
        <v>127</v>
      </c>
      <c r="C121" s="138">
        <v>1</v>
      </c>
      <c r="D121" s="48" t="s">
        <v>40</v>
      </c>
      <c r="E121" s="51">
        <f>+E120/12</f>
        <v>208333.33333333334</v>
      </c>
      <c r="F121" s="52"/>
      <c r="G121" s="57"/>
      <c r="H121" s="50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6"/>
      <c r="T121" s="50"/>
      <c r="U121" s="57"/>
      <c r="V121" s="55"/>
      <c r="W121" s="57"/>
      <c r="X121" s="50"/>
      <c r="Y121" s="57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</row>
    <row r="122" spans="1:40" x14ac:dyDescent="0.25">
      <c r="A122" s="84"/>
      <c r="B122" s="82" t="s">
        <v>134</v>
      </c>
      <c r="C122" s="138">
        <v>1</v>
      </c>
      <c r="D122" s="48" t="s">
        <v>40</v>
      </c>
      <c r="E122" s="137">
        <v>102056</v>
      </c>
      <c r="F122" s="56"/>
      <c r="G122" s="57"/>
      <c r="H122" s="50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6"/>
      <c r="T122" s="50"/>
      <c r="U122" s="57"/>
      <c r="V122" s="55"/>
      <c r="W122" s="57"/>
      <c r="X122" s="50"/>
      <c r="Y122" s="57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</row>
    <row r="123" spans="1:40" x14ac:dyDescent="0.25">
      <c r="A123" s="84"/>
      <c r="B123" s="82" t="s">
        <v>130</v>
      </c>
      <c r="C123" s="138">
        <v>1</v>
      </c>
      <c r="D123" s="48" t="s">
        <v>40</v>
      </c>
      <c r="E123" s="137">
        <v>0</v>
      </c>
      <c r="F123" s="56"/>
      <c r="G123" s="57"/>
      <c r="H123" s="50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6"/>
      <c r="T123" s="50"/>
      <c r="U123" s="57"/>
      <c r="V123" s="55"/>
      <c r="W123" s="57"/>
      <c r="X123" s="50"/>
      <c r="Y123" s="57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</row>
    <row r="124" spans="1:40" x14ac:dyDescent="0.25">
      <c r="A124" s="84"/>
      <c r="B124" s="82" t="s">
        <v>131</v>
      </c>
      <c r="C124" s="138">
        <v>1</v>
      </c>
      <c r="D124" s="48" t="s">
        <v>40</v>
      </c>
      <c r="E124" s="137">
        <v>0</v>
      </c>
      <c r="F124" s="56"/>
      <c r="G124" s="57"/>
      <c r="H124" s="50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6"/>
      <c r="T124" s="50"/>
      <c r="U124" s="57"/>
      <c r="V124" s="55"/>
      <c r="W124" s="57"/>
      <c r="X124" s="50"/>
      <c r="Y124" s="57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</row>
    <row r="125" spans="1:40" x14ac:dyDescent="0.25">
      <c r="A125" s="84"/>
      <c r="B125" s="82" t="s">
        <v>132</v>
      </c>
      <c r="C125" s="138">
        <v>1</v>
      </c>
      <c r="D125" s="48" t="s">
        <v>40</v>
      </c>
      <c r="E125" s="137">
        <v>0</v>
      </c>
      <c r="F125" s="56"/>
      <c r="G125" s="57"/>
      <c r="H125" s="50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6"/>
      <c r="T125" s="50"/>
      <c r="U125" s="57"/>
      <c r="V125" s="55"/>
      <c r="W125" s="57"/>
      <c r="X125" s="50"/>
      <c r="Y125" s="57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</row>
    <row r="126" spans="1:40" x14ac:dyDescent="0.25">
      <c r="A126" s="84"/>
      <c r="B126" s="82" t="s">
        <v>128</v>
      </c>
      <c r="C126" s="138">
        <v>1</v>
      </c>
      <c r="D126" s="48" t="s">
        <v>40</v>
      </c>
      <c r="E126" s="51">
        <f>0.165*E120</f>
        <v>412500</v>
      </c>
      <c r="F126" s="52"/>
      <c r="G126" s="57"/>
      <c r="H126" s="50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6"/>
      <c r="T126" s="50"/>
      <c r="U126" s="57"/>
      <c r="V126" s="55"/>
      <c r="W126" s="57"/>
      <c r="X126" s="50"/>
      <c r="Y126" s="57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</row>
    <row r="127" spans="1:40" x14ac:dyDescent="0.25">
      <c r="A127" s="77"/>
      <c r="B127" s="83" t="s">
        <v>125</v>
      </c>
      <c r="C127" s="139">
        <v>0</v>
      </c>
      <c r="D127" s="63" t="s">
        <v>40</v>
      </c>
      <c r="E127" s="64">
        <f>SUM(E128:E134)</f>
        <v>2650057.8783333334</v>
      </c>
      <c r="F127" s="65">
        <f>+E127*C127</f>
        <v>0</v>
      </c>
      <c r="G127" s="53"/>
      <c r="H127" s="50">
        <f>+F127</f>
        <v>0</v>
      </c>
      <c r="I127" s="55">
        <f t="shared" ref="I127:S127" si="23">+H127</f>
        <v>0</v>
      </c>
      <c r="J127" s="55">
        <f t="shared" si="23"/>
        <v>0</v>
      </c>
      <c r="K127" s="55">
        <f t="shared" si="23"/>
        <v>0</v>
      </c>
      <c r="L127" s="55">
        <f t="shared" si="23"/>
        <v>0</v>
      </c>
      <c r="M127" s="55">
        <f t="shared" si="23"/>
        <v>0</v>
      </c>
      <c r="N127" s="55">
        <f t="shared" si="23"/>
        <v>0</v>
      </c>
      <c r="O127" s="55">
        <f t="shared" si="23"/>
        <v>0</v>
      </c>
      <c r="P127" s="55">
        <f t="shared" si="23"/>
        <v>0</v>
      </c>
      <c r="Q127" s="55">
        <f t="shared" si="23"/>
        <v>0</v>
      </c>
      <c r="R127" s="55">
        <f t="shared" si="23"/>
        <v>0</v>
      </c>
      <c r="S127" s="56">
        <f t="shared" si="23"/>
        <v>0</v>
      </c>
      <c r="T127" s="53">
        <f>+G127+SUM(H127:S127)</f>
        <v>0</v>
      </c>
      <c r="U127" s="53">
        <f>+SUM(H127:S127)</f>
        <v>0</v>
      </c>
      <c r="V127" s="55">
        <f>+U127</f>
        <v>0</v>
      </c>
      <c r="W127" s="57">
        <f>+V127</f>
        <v>0</v>
      </c>
      <c r="X127" s="50">
        <f>+W127</f>
        <v>0</v>
      </c>
      <c r="Y127" s="57">
        <f>SUM(T127:X127)</f>
        <v>0</v>
      </c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x14ac:dyDescent="0.25">
      <c r="A128" s="84"/>
      <c r="B128" s="82" t="s">
        <v>126</v>
      </c>
      <c r="C128" s="138">
        <v>1</v>
      </c>
      <c r="D128" s="48" t="s">
        <v>40</v>
      </c>
      <c r="E128" s="127">
        <v>2041123</v>
      </c>
      <c r="F128" s="52"/>
      <c r="G128" s="57"/>
      <c r="H128" s="50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6"/>
      <c r="T128" s="50"/>
      <c r="U128" s="57"/>
      <c r="V128" s="55"/>
      <c r="W128" s="57"/>
      <c r="X128" s="50"/>
      <c r="Y128" s="57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</row>
    <row r="129" spans="1:40" x14ac:dyDescent="0.25">
      <c r="A129" s="84"/>
      <c r="B129" s="82" t="s">
        <v>127</v>
      </c>
      <c r="C129" s="138">
        <v>1</v>
      </c>
      <c r="D129" s="48" t="s">
        <v>40</v>
      </c>
      <c r="E129" s="51">
        <f>+E128/12</f>
        <v>170093.58333333334</v>
      </c>
      <c r="F129" s="52"/>
      <c r="G129" s="57"/>
      <c r="H129" s="50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6"/>
      <c r="T129" s="50"/>
      <c r="U129" s="57"/>
      <c r="V129" s="55"/>
      <c r="W129" s="57"/>
      <c r="X129" s="50"/>
      <c r="Y129" s="57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</row>
    <row r="130" spans="1:40" x14ac:dyDescent="0.25">
      <c r="A130" s="84"/>
      <c r="B130" s="82" t="s">
        <v>134</v>
      </c>
      <c r="C130" s="138">
        <v>1</v>
      </c>
      <c r="D130" s="48" t="s">
        <v>40</v>
      </c>
      <c r="E130" s="137">
        <v>102056</v>
      </c>
      <c r="F130" s="56"/>
      <c r="G130" s="57"/>
      <c r="H130" s="50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6"/>
      <c r="T130" s="50"/>
      <c r="U130" s="57"/>
      <c r="V130" s="55"/>
      <c r="W130" s="57"/>
      <c r="X130" s="50"/>
      <c r="Y130" s="57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</row>
    <row r="131" spans="1:40" x14ac:dyDescent="0.25">
      <c r="A131" s="84"/>
      <c r="B131" s="82" t="s">
        <v>130</v>
      </c>
      <c r="C131" s="138">
        <v>1</v>
      </c>
      <c r="D131" s="48" t="s">
        <v>40</v>
      </c>
      <c r="E131" s="137">
        <v>0</v>
      </c>
      <c r="F131" s="56"/>
      <c r="G131" s="57"/>
      <c r="H131" s="50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6"/>
      <c r="T131" s="50"/>
      <c r="U131" s="57"/>
      <c r="V131" s="55"/>
      <c r="W131" s="57"/>
      <c r="X131" s="50"/>
      <c r="Y131" s="57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</row>
    <row r="132" spans="1:40" x14ac:dyDescent="0.25">
      <c r="A132" s="84"/>
      <c r="B132" s="82" t="s">
        <v>131</v>
      </c>
      <c r="C132" s="138">
        <v>1</v>
      </c>
      <c r="D132" s="48" t="s">
        <v>40</v>
      </c>
      <c r="E132" s="137">
        <v>0</v>
      </c>
      <c r="F132" s="56"/>
      <c r="G132" s="57"/>
      <c r="H132" s="50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6"/>
      <c r="T132" s="50"/>
      <c r="U132" s="57"/>
      <c r="V132" s="55"/>
      <c r="W132" s="57"/>
      <c r="X132" s="50"/>
      <c r="Y132" s="57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</row>
    <row r="133" spans="1:40" x14ac:dyDescent="0.25">
      <c r="A133" s="84"/>
      <c r="B133" s="82" t="s">
        <v>132</v>
      </c>
      <c r="C133" s="138">
        <v>1</v>
      </c>
      <c r="D133" s="48" t="s">
        <v>40</v>
      </c>
      <c r="E133" s="137">
        <v>0</v>
      </c>
      <c r="F133" s="56"/>
      <c r="G133" s="57"/>
      <c r="H133" s="50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6"/>
      <c r="T133" s="50"/>
      <c r="U133" s="57"/>
      <c r="V133" s="55"/>
      <c r="W133" s="57"/>
      <c r="X133" s="50"/>
      <c r="Y133" s="57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</row>
    <row r="134" spans="1:40" x14ac:dyDescent="0.25">
      <c r="A134" s="84"/>
      <c r="B134" s="82" t="s">
        <v>128</v>
      </c>
      <c r="C134" s="138">
        <v>1</v>
      </c>
      <c r="D134" s="48" t="s">
        <v>40</v>
      </c>
      <c r="E134" s="51">
        <f>0.165*E128</f>
        <v>336785.29500000004</v>
      </c>
      <c r="F134" s="52"/>
      <c r="G134" s="57"/>
      <c r="H134" s="50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6"/>
      <c r="T134" s="50"/>
      <c r="U134" s="57"/>
      <c r="V134" s="55"/>
      <c r="W134" s="57"/>
      <c r="X134" s="50"/>
      <c r="Y134" s="57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1:40" x14ac:dyDescent="0.25">
      <c r="A135" s="77"/>
      <c r="B135" s="83" t="s">
        <v>304</v>
      </c>
      <c r="C135" s="64">
        <f>(C34)*(IF(C4="X",1,0))</f>
        <v>18</v>
      </c>
      <c r="D135" s="63" t="s">
        <v>40</v>
      </c>
      <c r="E135" s="64">
        <f>SUM(E136:E142)</f>
        <v>2973222.6666666665</v>
      </c>
      <c r="F135" s="65">
        <f>+E135*C135</f>
        <v>53518008</v>
      </c>
      <c r="G135" s="53"/>
      <c r="H135" s="50">
        <f>+F135</f>
        <v>53518008</v>
      </c>
      <c r="I135" s="55">
        <f t="shared" ref="I135:S135" si="24">+H135</f>
        <v>53518008</v>
      </c>
      <c r="J135" s="55">
        <f t="shared" si="24"/>
        <v>53518008</v>
      </c>
      <c r="K135" s="55">
        <f t="shared" si="24"/>
        <v>53518008</v>
      </c>
      <c r="L135" s="55">
        <f t="shared" si="24"/>
        <v>53518008</v>
      </c>
      <c r="M135" s="55">
        <f t="shared" si="24"/>
        <v>53518008</v>
      </c>
      <c r="N135" s="55">
        <f t="shared" si="24"/>
        <v>53518008</v>
      </c>
      <c r="O135" s="55">
        <f t="shared" si="24"/>
        <v>53518008</v>
      </c>
      <c r="P135" s="55">
        <f t="shared" si="24"/>
        <v>53518008</v>
      </c>
      <c r="Q135" s="55">
        <f t="shared" si="24"/>
        <v>53518008</v>
      </c>
      <c r="R135" s="55">
        <f t="shared" si="24"/>
        <v>53518008</v>
      </c>
      <c r="S135" s="56">
        <f t="shared" si="24"/>
        <v>53518008</v>
      </c>
      <c r="T135" s="53">
        <f>+G135+SUM(H135:S135)</f>
        <v>642216096</v>
      </c>
      <c r="U135" s="53">
        <f>+SUM(H135:S135)</f>
        <v>642216096</v>
      </c>
      <c r="V135" s="55">
        <f>+U135</f>
        <v>642216096</v>
      </c>
      <c r="W135" s="57">
        <f>+V135</f>
        <v>642216096</v>
      </c>
      <c r="X135" s="50">
        <f>+W135</f>
        <v>642216096</v>
      </c>
      <c r="Y135" s="57">
        <f>SUM(T135:X135)</f>
        <v>3211080480</v>
      </c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x14ac:dyDescent="0.25">
      <c r="A136" s="84"/>
      <c r="B136" s="82" t="s">
        <v>126</v>
      </c>
      <c r="C136" s="138">
        <v>1</v>
      </c>
      <c r="D136" s="48" t="s">
        <v>40</v>
      </c>
      <c r="E136" s="127">
        <v>2300000</v>
      </c>
      <c r="F136" s="52"/>
      <c r="G136" s="57"/>
      <c r="H136" s="50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6"/>
      <c r="T136" s="50"/>
      <c r="U136" s="57"/>
      <c r="V136" s="55"/>
      <c r="W136" s="57"/>
      <c r="X136" s="50"/>
      <c r="Y136" s="57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</row>
    <row r="137" spans="1:40" x14ac:dyDescent="0.25">
      <c r="A137" s="84"/>
      <c r="B137" s="82" t="s">
        <v>127</v>
      </c>
      <c r="C137" s="138">
        <v>1</v>
      </c>
      <c r="D137" s="48" t="s">
        <v>40</v>
      </c>
      <c r="E137" s="51">
        <f>+E136/12</f>
        <v>191666.66666666666</v>
      </c>
      <c r="F137" s="52"/>
      <c r="G137" s="57"/>
      <c r="H137" s="50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6"/>
      <c r="T137" s="50"/>
      <c r="U137" s="57"/>
      <c r="V137" s="55"/>
      <c r="W137" s="57"/>
      <c r="X137" s="50"/>
      <c r="Y137" s="57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</row>
    <row r="138" spans="1:40" x14ac:dyDescent="0.25">
      <c r="A138" s="84"/>
      <c r="B138" s="82" t="s">
        <v>134</v>
      </c>
      <c r="C138" s="138">
        <v>1</v>
      </c>
      <c r="D138" s="48" t="s">
        <v>40</v>
      </c>
      <c r="E138" s="137">
        <v>102056</v>
      </c>
      <c r="F138" s="56"/>
      <c r="G138" s="57"/>
      <c r="H138" s="50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6"/>
      <c r="T138" s="50"/>
      <c r="U138" s="57"/>
      <c r="V138" s="55"/>
      <c r="W138" s="57"/>
      <c r="X138" s="50"/>
      <c r="Y138" s="57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</row>
    <row r="139" spans="1:40" x14ac:dyDescent="0.25">
      <c r="A139" s="84"/>
      <c r="B139" s="82" t="s">
        <v>130</v>
      </c>
      <c r="C139" s="138">
        <v>1</v>
      </c>
      <c r="D139" s="48" t="s">
        <v>40</v>
      </c>
      <c r="E139" s="137">
        <v>0</v>
      </c>
      <c r="F139" s="56"/>
      <c r="G139" s="57"/>
      <c r="H139" s="50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6"/>
      <c r="T139" s="50"/>
      <c r="U139" s="57"/>
      <c r="V139" s="55"/>
      <c r="W139" s="57"/>
      <c r="X139" s="50"/>
      <c r="Y139" s="57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</row>
    <row r="140" spans="1:40" x14ac:dyDescent="0.25">
      <c r="A140" s="84"/>
      <c r="B140" s="82" t="s">
        <v>131</v>
      </c>
      <c r="C140" s="138">
        <v>1</v>
      </c>
      <c r="D140" s="48" t="s">
        <v>40</v>
      </c>
      <c r="E140" s="137">
        <v>0</v>
      </c>
      <c r="F140" s="56"/>
      <c r="G140" s="57"/>
      <c r="H140" s="50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6"/>
      <c r="T140" s="50"/>
      <c r="U140" s="57"/>
      <c r="V140" s="55"/>
      <c r="W140" s="57"/>
      <c r="X140" s="50"/>
      <c r="Y140" s="57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</row>
    <row r="141" spans="1:40" x14ac:dyDescent="0.25">
      <c r="A141" s="84"/>
      <c r="B141" s="82" t="s">
        <v>132</v>
      </c>
      <c r="C141" s="138">
        <v>1</v>
      </c>
      <c r="D141" s="48" t="s">
        <v>40</v>
      </c>
      <c r="E141" s="137">
        <v>0</v>
      </c>
      <c r="F141" s="56"/>
      <c r="G141" s="57"/>
      <c r="H141" s="50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6"/>
      <c r="T141" s="50"/>
      <c r="U141" s="57"/>
      <c r="V141" s="55"/>
      <c r="W141" s="57"/>
      <c r="X141" s="50"/>
      <c r="Y141" s="57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</row>
    <row r="142" spans="1:40" x14ac:dyDescent="0.25">
      <c r="A142" s="84"/>
      <c r="B142" s="82" t="s">
        <v>128</v>
      </c>
      <c r="C142" s="138">
        <v>1</v>
      </c>
      <c r="D142" s="48" t="s">
        <v>40</v>
      </c>
      <c r="E142" s="51">
        <f>0.165*E136</f>
        <v>379500</v>
      </c>
      <c r="F142" s="52"/>
      <c r="G142" s="57"/>
      <c r="H142" s="50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6"/>
      <c r="T142" s="50"/>
      <c r="U142" s="57"/>
      <c r="V142" s="55"/>
      <c r="W142" s="57"/>
      <c r="X142" s="50"/>
      <c r="Y142" s="57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</row>
    <row r="143" spans="1:40" x14ac:dyDescent="0.25">
      <c r="A143" s="77"/>
      <c r="B143" s="83" t="s">
        <v>119</v>
      </c>
      <c r="C143" s="64">
        <f>+((C45)*(IF(C3="X",1,0))+(C35)*(IF(C4="X",1,0)))</f>
        <v>3</v>
      </c>
      <c r="D143" s="63" t="s">
        <v>40</v>
      </c>
      <c r="E143" s="64">
        <f>SUM(E144:E150)</f>
        <v>2650057.8783333334</v>
      </c>
      <c r="F143" s="65">
        <f>+E143*C143</f>
        <v>7950173.6349999998</v>
      </c>
      <c r="G143" s="53"/>
      <c r="H143" s="50">
        <f>+F143</f>
        <v>7950173.6349999998</v>
      </c>
      <c r="I143" s="55">
        <f t="shared" ref="I143:S143" si="25">+H143</f>
        <v>7950173.6349999998</v>
      </c>
      <c r="J143" s="55">
        <f t="shared" si="25"/>
        <v>7950173.6349999998</v>
      </c>
      <c r="K143" s="55">
        <f t="shared" si="25"/>
        <v>7950173.6349999998</v>
      </c>
      <c r="L143" s="55">
        <f t="shared" si="25"/>
        <v>7950173.6349999998</v>
      </c>
      <c r="M143" s="55">
        <f t="shared" si="25"/>
        <v>7950173.6349999998</v>
      </c>
      <c r="N143" s="55">
        <f t="shared" si="25"/>
        <v>7950173.6349999998</v>
      </c>
      <c r="O143" s="55">
        <f t="shared" si="25"/>
        <v>7950173.6349999998</v>
      </c>
      <c r="P143" s="55">
        <f t="shared" si="25"/>
        <v>7950173.6349999998</v>
      </c>
      <c r="Q143" s="55">
        <f t="shared" si="25"/>
        <v>7950173.6349999998</v>
      </c>
      <c r="R143" s="55">
        <f t="shared" si="25"/>
        <v>7950173.6349999998</v>
      </c>
      <c r="S143" s="56">
        <f t="shared" si="25"/>
        <v>7950173.6349999998</v>
      </c>
      <c r="T143" s="53">
        <f>+G143+SUM(H143:S143)</f>
        <v>95402083.620000005</v>
      </c>
      <c r="U143" s="53">
        <f>+SUM(H143:S143)</f>
        <v>95402083.620000005</v>
      </c>
      <c r="V143" s="55">
        <f>+U143</f>
        <v>95402083.620000005</v>
      </c>
      <c r="W143" s="57">
        <f>+V143</f>
        <v>95402083.620000005</v>
      </c>
      <c r="X143" s="50">
        <f>+W143</f>
        <v>95402083.620000005</v>
      </c>
      <c r="Y143" s="57">
        <f>SUM(T143:X143)</f>
        <v>477010418.10000002</v>
      </c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x14ac:dyDescent="0.25">
      <c r="A144" s="84"/>
      <c r="B144" s="82" t="s">
        <v>126</v>
      </c>
      <c r="C144" s="138">
        <v>1</v>
      </c>
      <c r="D144" s="48" t="s">
        <v>40</v>
      </c>
      <c r="E144" s="127">
        <v>2041123</v>
      </c>
      <c r="F144" s="52"/>
      <c r="G144" s="57"/>
      <c r="H144" s="50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6"/>
      <c r="T144" s="50"/>
      <c r="U144" s="57"/>
      <c r="V144" s="55"/>
      <c r="W144" s="57"/>
      <c r="X144" s="50"/>
      <c r="Y144" s="57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</row>
    <row r="145" spans="1:40" x14ac:dyDescent="0.25">
      <c r="A145" s="84"/>
      <c r="B145" s="82" t="s">
        <v>127</v>
      </c>
      <c r="C145" s="138">
        <v>1</v>
      </c>
      <c r="D145" s="48" t="s">
        <v>40</v>
      </c>
      <c r="E145" s="51">
        <f>+E144/12</f>
        <v>170093.58333333334</v>
      </c>
      <c r="F145" s="52"/>
      <c r="G145" s="57"/>
      <c r="H145" s="50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6"/>
      <c r="T145" s="50"/>
      <c r="U145" s="57"/>
      <c r="V145" s="55"/>
      <c r="W145" s="57"/>
      <c r="X145" s="50"/>
      <c r="Y145" s="57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</row>
    <row r="146" spans="1:40" x14ac:dyDescent="0.25">
      <c r="A146" s="84"/>
      <c r="B146" s="82" t="s">
        <v>134</v>
      </c>
      <c r="C146" s="138">
        <v>1</v>
      </c>
      <c r="D146" s="48" t="s">
        <v>40</v>
      </c>
      <c r="E146" s="137">
        <v>102056</v>
      </c>
      <c r="F146" s="56"/>
      <c r="G146" s="57"/>
      <c r="H146" s="50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6"/>
      <c r="T146" s="50"/>
      <c r="U146" s="57"/>
      <c r="V146" s="55"/>
      <c r="W146" s="57"/>
      <c r="X146" s="50"/>
      <c r="Y146" s="57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</row>
    <row r="147" spans="1:40" x14ac:dyDescent="0.25">
      <c r="A147" s="84"/>
      <c r="B147" s="82" t="s">
        <v>130</v>
      </c>
      <c r="C147" s="138">
        <v>1</v>
      </c>
      <c r="D147" s="48" t="s">
        <v>40</v>
      </c>
      <c r="E147" s="137">
        <v>0</v>
      </c>
      <c r="F147" s="56"/>
      <c r="G147" s="57"/>
      <c r="H147" s="50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6"/>
      <c r="T147" s="50"/>
      <c r="U147" s="57"/>
      <c r="V147" s="55"/>
      <c r="W147" s="57"/>
      <c r="X147" s="50"/>
      <c r="Y147" s="57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</row>
    <row r="148" spans="1:40" x14ac:dyDescent="0.25">
      <c r="A148" s="84"/>
      <c r="B148" s="82" t="s">
        <v>131</v>
      </c>
      <c r="C148" s="138">
        <v>1</v>
      </c>
      <c r="D148" s="48" t="s">
        <v>40</v>
      </c>
      <c r="E148" s="137">
        <v>0</v>
      </c>
      <c r="F148" s="56"/>
      <c r="G148" s="57"/>
      <c r="H148" s="50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6"/>
      <c r="T148" s="50"/>
      <c r="U148" s="57"/>
      <c r="V148" s="55"/>
      <c r="W148" s="57"/>
      <c r="X148" s="50"/>
      <c r="Y148" s="57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</row>
    <row r="149" spans="1:40" x14ac:dyDescent="0.25">
      <c r="A149" s="84"/>
      <c r="B149" s="82" t="s">
        <v>132</v>
      </c>
      <c r="C149" s="138">
        <v>1</v>
      </c>
      <c r="D149" s="48" t="s">
        <v>40</v>
      </c>
      <c r="E149" s="137">
        <v>0</v>
      </c>
      <c r="F149" s="56"/>
      <c r="G149" s="57"/>
      <c r="H149" s="50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6"/>
      <c r="T149" s="50"/>
      <c r="U149" s="57"/>
      <c r="V149" s="55"/>
      <c r="W149" s="57"/>
      <c r="X149" s="50"/>
      <c r="Y149" s="57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</row>
    <row r="150" spans="1:40" x14ac:dyDescent="0.25">
      <c r="A150" s="84"/>
      <c r="B150" s="82" t="s">
        <v>128</v>
      </c>
      <c r="C150" s="138">
        <v>1</v>
      </c>
      <c r="D150" s="48" t="s">
        <v>40</v>
      </c>
      <c r="E150" s="51">
        <f>0.165*E144</f>
        <v>336785.29500000004</v>
      </c>
      <c r="F150" s="52"/>
      <c r="G150" s="57"/>
      <c r="H150" s="50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6"/>
      <c r="T150" s="50"/>
      <c r="U150" s="57"/>
      <c r="V150" s="55"/>
      <c r="W150" s="57"/>
      <c r="X150" s="50"/>
      <c r="Y150" s="57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</row>
    <row r="151" spans="1:40" x14ac:dyDescent="0.25">
      <c r="A151" s="77"/>
      <c r="B151" s="83" t="s">
        <v>303</v>
      </c>
      <c r="C151" s="64">
        <f>((C44)*(IF(C3="X",1,0))*C43*25+(C36)*(IF(C4="X",1,0))*C43*C26*25)</f>
        <v>7200</v>
      </c>
      <c r="D151" s="63" t="s">
        <v>43</v>
      </c>
      <c r="E151" s="69">
        <f>SUM(E152:E154)</f>
        <v>17547.405555555553</v>
      </c>
      <c r="F151" s="65">
        <f>+E151*C151</f>
        <v>126341319.99999999</v>
      </c>
      <c r="G151" s="53"/>
      <c r="H151" s="49">
        <f>+F151</f>
        <v>126341319.99999999</v>
      </c>
      <c r="I151" s="51">
        <f>+H151</f>
        <v>126341319.99999999</v>
      </c>
      <c r="J151" s="51">
        <f t="shared" ref="J151:S151" si="26">+H151</f>
        <v>126341319.99999999</v>
      </c>
      <c r="K151" s="51">
        <f t="shared" si="26"/>
        <v>126341319.99999999</v>
      </c>
      <c r="L151" s="51">
        <f t="shared" si="26"/>
        <v>126341319.99999999</v>
      </c>
      <c r="M151" s="51">
        <f t="shared" si="26"/>
        <v>126341319.99999999</v>
      </c>
      <c r="N151" s="51">
        <f t="shared" si="26"/>
        <v>126341319.99999999</v>
      </c>
      <c r="O151" s="51">
        <f t="shared" si="26"/>
        <v>126341319.99999999</v>
      </c>
      <c r="P151" s="51">
        <f t="shared" si="26"/>
        <v>126341319.99999999</v>
      </c>
      <c r="Q151" s="51">
        <f t="shared" si="26"/>
        <v>126341319.99999999</v>
      </c>
      <c r="R151" s="51">
        <f t="shared" si="26"/>
        <v>126341319.99999999</v>
      </c>
      <c r="S151" s="52">
        <f t="shared" si="26"/>
        <v>126341319.99999999</v>
      </c>
      <c r="T151" s="53">
        <f>+G151+SUM(H151:S151)</f>
        <v>1516095839.9999998</v>
      </c>
      <c r="U151" s="53">
        <f>+SUM(H151:S151)</f>
        <v>1516095839.9999998</v>
      </c>
      <c r="V151" s="53">
        <f>+U151</f>
        <v>1516095839.9999998</v>
      </c>
      <c r="W151" s="53">
        <f>+V151</f>
        <v>1516095839.9999998</v>
      </c>
      <c r="X151" s="53">
        <f>+W151</f>
        <v>1516095839.9999998</v>
      </c>
      <c r="Y151" s="53">
        <f>SUM(T151:X151)</f>
        <v>7580479199.999999</v>
      </c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x14ac:dyDescent="0.25">
      <c r="A152" s="84"/>
      <c r="B152" s="82" t="s">
        <v>126</v>
      </c>
      <c r="C152" s="138">
        <v>1</v>
      </c>
      <c r="D152" s="48" t="s">
        <v>22</v>
      </c>
      <c r="E152" s="147">
        <f>+'DATOS BÁSICOS DE PARTIDA'!C6/6</f>
        <v>14056.666666666666</v>
      </c>
      <c r="F152" s="52"/>
      <c r="G152" s="57"/>
      <c r="H152" s="50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6"/>
      <c r="T152" s="50"/>
      <c r="U152" s="57"/>
      <c r="V152" s="55"/>
      <c r="W152" s="57"/>
      <c r="X152" s="50"/>
      <c r="Y152" s="57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</row>
    <row r="153" spans="1:40" x14ac:dyDescent="0.25">
      <c r="A153" s="84"/>
      <c r="B153" s="82" t="s">
        <v>127</v>
      </c>
      <c r="C153" s="138">
        <v>1</v>
      </c>
      <c r="D153" s="48" t="s">
        <v>22</v>
      </c>
      <c r="E153" s="51">
        <f>+E152/12</f>
        <v>1171.3888888888889</v>
      </c>
      <c r="F153" s="52"/>
      <c r="G153" s="57"/>
      <c r="H153" s="50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6"/>
      <c r="T153" s="50"/>
      <c r="U153" s="57"/>
      <c r="V153" s="55"/>
      <c r="W153" s="57"/>
      <c r="X153" s="50"/>
      <c r="Y153" s="57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</row>
    <row r="154" spans="1:40" x14ac:dyDescent="0.25">
      <c r="A154" s="84"/>
      <c r="B154" s="82" t="s">
        <v>128</v>
      </c>
      <c r="C154" s="138">
        <v>1</v>
      </c>
      <c r="D154" s="48" t="s">
        <v>22</v>
      </c>
      <c r="E154" s="51">
        <f>0.165*E152</f>
        <v>2319.35</v>
      </c>
      <c r="F154" s="52"/>
      <c r="G154" s="57"/>
      <c r="H154" s="50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6"/>
      <c r="T154" s="50"/>
      <c r="U154" s="57"/>
      <c r="V154" s="55"/>
      <c r="W154" s="57"/>
      <c r="X154" s="50"/>
      <c r="Y154" s="57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</row>
    <row r="155" spans="1:40" x14ac:dyDescent="0.25">
      <c r="A155" s="84"/>
      <c r="B155" s="83" t="s">
        <v>59</v>
      </c>
      <c r="C155" s="143">
        <v>0</v>
      </c>
      <c r="D155" s="67" t="s">
        <v>40</v>
      </c>
      <c r="E155" s="137">
        <v>0</v>
      </c>
      <c r="F155" s="68">
        <f>+E155*C155</f>
        <v>0</v>
      </c>
      <c r="G155" s="57"/>
      <c r="H155" s="50">
        <f>+F155</f>
        <v>0</v>
      </c>
      <c r="I155" s="55">
        <f t="shared" ref="I155:S155" si="27">+H155</f>
        <v>0</v>
      </c>
      <c r="J155" s="55">
        <f t="shared" si="27"/>
        <v>0</v>
      </c>
      <c r="K155" s="55">
        <f t="shared" si="27"/>
        <v>0</v>
      </c>
      <c r="L155" s="55">
        <f t="shared" si="27"/>
        <v>0</v>
      </c>
      <c r="M155" s="55">
        <f t="shared" si="27"/>
        <v>0</v>
      </c>
      <c r="N155" s="55">
        <f t="shared" si="27"/>
        <v>0</v>
      </c>
      <c r="O155" s="55">
        <f t="shared" si="27"/>
        <v>0</v>
      </c>
      <c r="P155" s="55">
        <f t="shared" si="27"/>
        <v>0</v>
      </c>
      <c r="Q155" s="55">
        <f t="shared" si="27"/>
        <v>0</v>
      </c>
      <c r="R155" s="55">
        <f t="shared" si="27"/>
        <v>0</v>
      </c>
      <c r="S155" s="56">
        <f t="shared" si="27"/>
        <v>0</v>
      </c>
      <c r="T155" s="53">
        <f>+G155+SUM(H155:S155)</f>
        <v>0</v>
      </c>
      <c r="U155" s="53">
        <f>+SUM(H155:S155)</f>
        <v>0</v>
      </c>
      <c r="V155" s="55">
        <f>+U155</f>
        <v>0</v>
      </c>
      <c r="W155" s="57">
        <f>+V155</f>
        <v>0</v>
      </c>
      <c r="X155" s="50">
        <f>+W155</f>
        <v>0</v>
      </c>
      <c r="Y155" s="57">
        <f>SUM(T155:X155)</f>
        <v>0</v>
      </c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</row>
    <row r="156" spans="1:40" x14ac:dyDescent="0.25">
      <c r="A156" s="84"/>
      <c r="B156" s="81"/>
      <c r="C156" s="55"/>
      <c r="D156" s="48"/>
      <c r="E156" s="55"/>
      <c r="F156" s="56"/>
      <c r="G156" s="57"/>
      <c r="H156" s="50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6"/>
      <c r="T156" s="50"/>
      <c r="U156" s="57"/>
      <c r="V156" s="55"/>
      <c r="W156" s="57"/>
      <c r="X156" s="50"/>
      <c r="Y156" s="57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</row>
    <row r="157" spans="1:40" x14ac:dyDescent="0.25">
      <c r="A157" s="79" t="s">
        <v>66</v>
      </c>
      <c r="B157" s="85"/>
      <c r="C157" s="55"/>
      <c r="D157" s="48"/>
      <c r="E157" s="55"/>
      <c r="F157" s="56"/>
      <c r="G157" s="57"/>
      <c r="H157" s="50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6"/>
      <c r="T157" s="50"/>
      <c r="U157" s="57"/>
      <c r="V157" s="55"/>
      <c r="W157" s="57"/>
      <c r="X157" s="50"/>
      <c r="Y157" s="57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</row>
    <row r="158" spans="1:40" x14ac:dyDescent="0.25">
      <c r="A158" s="84"/>
      <c r="B158" s="86" t="s">
        <v>122</v>
      </c>
      <c r="C158" s="55">
        <f>+C159+C160</f>
        <v>5</v>
      </c>
      <c r="D158" s="48" t="s">
        <v>81</v>
      </c>
      <c r="E158" s="55"/>
      <c r="F158" s="56"/>
      <c r="G158" s="57"/>
      <c r="H158" s="50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6"/>
      <c r="T158" s="50"/>
      <c r="U158" s="57"/>
      <c r="V158" s="55"/>
      <c r="W158" s="57"/>
      <c r="X158" s="50"/>
      <c r="Y158" s="57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</row>
    <row r="159" spans="1:40" x14ac:dyDescent="0.25">
      <c r="A159" s="84"/>
      <c r="B159" s="87" t="s">
        <v>123</v>
      </c>
      <c r="C159" s="138">
        <v>3</v>
      </c>
      <c r="D159" s="48" t="s">
        <v>81</v>
      </c>
      <c r="E159" s="146">
        <f>SUM(H95:H155)</f>
        <v>304415460.63499999</v>
      </c>
      <c r="F159" s="56">
        <f>+E159*C159/100</f>
        <v>9132463.8190499991</v>
      </c>
      <c r="G159" s="57"/>
      <c r="H159" s="50">
        <f>+F159</f>
        <v>9132463.8190499991</v>
      </c>
      <c r="I159" s="55">
        <f t="shared" ref="I159:S162" si="28">+H159</f>
        <v>9132463.8190499991</v>
      </c>
      <c r="J159" s="55">
        <f t="shared" si="28"/>
        <v>9132463.8190499991</v>
      </c>
      <c r="K159" s="55">
        <f t="shared" si="28"/>
        <v>9132463.8190499991</v>
      </c>
      <c r="L159" s="55">
        <f t="shared" si="28"/>
        <v>9132463.8190499991</v>
      </c>
      <c r="M159" s="55">
        <f t="shared" si="28"/>
        <v>9132463.8190499991</v>
      </c>
      <c r="N159" s="55">
        <f t="shared" si="28"/>
        <v>9132463.8190499991</v>
      </c>
      <c r="O159" s="55">
        <f t="shared" si="28"/>
        <v>9132463.8190499991</v>
      </c>
      <c r="P159" s="55">
        <f t="shared" si="28"/>
        <v>9132463.8190499991</v>
      </c>
      <c r="Q159" s="55">
        <f t="shared" si="28"/>
        <v>9132463.8190499991</v>
      </c>
      <c r="R159" s="55">
        <f t="shared" si="28"/>
        <v>9132463.8190499991</v>
      </c>
      <c r="S159" s="56">
        <f t="shared" si="28"/>
        <v>9132463.8190499991</v>
      </c>
      <c r="T159" s="53">
        <f>+G159+SUM(H159:S159)</f>
        <v>109589565.82859999</v>
      </c>
      <c r="U159" s="53">
        <f>+SUM(H159:S159)</f>
        <v>109589565.82859999</v>
      </c>
      <c r="V159" s="55">
        <f t="shared" ref="V159:X160" si="29">+U159</f>
        <v>109589565.82859999</v>
      </c>
      <c r="W159" s="57">
        <f t="shared" si="29"/>
        <v>109589565.82859999</v>
      </c>
      <c r="X159" s="50">
        <f t="shared" si="29"/>
        <v>109589565.82859999</v>
      </c>
      <c r="Y159" s="57">
        <f>SUM(T159:X159)</f>
        <v>547947829.14299989</v>
      </c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</row>
    <row r="160" spans="1:40" x14ac:dyDescent="0.25">
      <c r="A160" s="84"/>
      <c r="B160" s="87" t="s">
        <v>124</v>
      </c>
      <c r="C160" s="138">
        <v>2</v>
      </c>
      <c r="D160" s="48" t="s">
        <v>81</v>
      </c>
      <c r="E160" s="146">
        <f>SUM(H96:H155)</f>
        <v>304415460.63499999</v>
      </c>
      <c r="F160" s="56">
        <f>+E160*C160/100</f>
        <v>6088309.2127</v>
      </c>
      <c r="G160" s="57"/>
      <c r="H160" s="50">
        <f>+F160</f>
        <v>6088309.2127</v>
      </c>
      <c r="I160" s="55">
        <f t="shared" si="28"/>
        <v>6088309.2127</v>
      </c>
      <c r="J160" s="55">
        <f t="shared" si="28"/>
        <v>6088309.2127</v>
      </c>
      <c r="K160" s="55">
        <f t="shared" si="28"/>
        <v>6088309.2127</v>
      </c>
      <c r="L160" s="55">
        <f t="shared" si="28"/>
        <v>6088309.2127</v>
      </c>
      <c r="M160" s="55">
        <f t="shared" si="28"/>
        <v>6088309.2127</v>
      </c>
      <c r="N160" s="55">
        <f t="shared" si="28"/>
        <v>6088309.2127</v>
      </c>
      <c r="O160" s="55">
        <f t="shared" si="28"/>
        <v>6088309.2127</v>
      </c>
      <c r="P160" s="55">
        <f t="shared" si="28"/>
        <v>6088309.2127</v>
      </c>
      <c r="Q160" s="55">
        <f t="shared" si="28"/>
        <v>6088309.2127</v>
      </c>
      <c r="R160" s="55">
        <f t="shared" si="28"/>
        <v>6088309.2127</v>
      </c>
      <c r="S160" s="56">
        <f t="shared" si="28"/>
        <v>6088309.2127</v>
      </c>
      <c r="T160" s="53">
        <f>+G160+SUM(H160:S160)</f>
        <v>73059710.552400008</v>
      </c>
      <c r="U160" s="53">
        <f>+SUM(H160:S160)</f>
        <v>73059710.552400008</v>
      </c>
      <c r="V160" s="55">
        <f t="shared" si="29"/>
        <v>73059710.552400008</v>
      </c>
      <c r="W160" s="57">
        <f t="shared" si="29"/>
        <v>73059710.552400008</v>
      </c>
      <c r="X160" s="50">
        <f t="shared" si="29"/>
        <v>73059710.552400008</v>
      </c>
      <c r="Y160" s="57">
        <f>SUM(T160:X160)</f>
        <v>365298552.76200002</v>
      </c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</row>
    <row r="161" spans="1:36" x14ac:dyDescent="0.25">
      <c r="A161" s="84"/>
      <c r="B161" s="86" t="s">
        <v>67</v>
      </c>
      <c r="C161" s="28"/>
      <c r="D161" s="28"/>
      <c r="E161" s="55"/>
      <c r="F161" s="56"/>
      <c r="G161" s="57"/>
      <c r="H161" s="50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6"/>
      <c r="T161" s="50"/>
      <c r="U161" s="57"/>
      <c r="V161" s="55"/>
      <c r="W161" s="57"/>
      <c r="X161" s="50"/>
      <c r="Y161" s="57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</row>
    <row r="162" spans="1:36" x14ac:dyDescent="0.25">
      <c r="A162" s="84"/>
      <c r="B162" s="87" t="s">
        <v>69</v>
      </c>
      <c r="C162" s="131">
        <v>0</v>
      </c>
      <c r="D162" s="28"/>
      <c r="E162" s="137">
        <v>0</v>
      </c>
      <c r="F162" s="56">
        <f>+E162*C162</f>
        <v>0</v>
      </c>
      <c r="G162" s="57"/>
      <c r="H162" s="50">
        <f>+F162</f>
        <v>0</v>
      </c>
      <c r="I162" s="55">
        <f t="shared" si="28"/>
        <v>0</v>
      </c>
      <c r="J162" s="55">
        <f t="shared" si="28"/>
        <v>0</v>
      </c>
      <c r="K162" s="55">
        <f t="shared" si="28"/>
        <v>0</v>
      </c>
      <c r="L162" s="55">
        <f t="shared" si="28"/>
        <v>0</v>
      </c>
      <c r="M162" s="55">
        <f t="shared" si="28"/>
        <v>0</v>
      </c>
      <c r="N162" s="55">
        <f t="shared" si="28"/>
        <v>0</v>
      </c>
      <c r="O162" s="55">
        <f t="shared" si="28"/>
        <v>0</v>
      </c>
      <c r="P162" s="55">
        <f t="shared" si="28"/>
        <v>0</v>
      </c>
      <c r="Q162" s="55">
        <f t="shared" si="28"/>
        <v>0</v>
      </c>
      <c r="R162" s="55">
        <f t="shared" si="28"/>
        <v>0</v>
      </c>
      <c r="S162" s="56">
        <f t="shared" si="28"/>
        <v>0</v>
      </c>
      <c r="T162" s="53">
        <f>+G162+SUM(H162:S162)</f>
        <v>0</v>
      </c>
      <c r="U162" s="53">
        <f>+SUM(H162:S162)</f>
        <v>0</v>
      </c>
      <c r="V162" s="55">
        <f>+U162</f>
        <v>0</v>
      </c>
      <c r="W162" s="57">
        <f>+V162</f>
        <v>0</v>
      </c>
      <c r="X162" s="50">
        <f>+W162</f>
        <v>0</v>
      </c>
      <c r="Y162" s="57">
        <f>SUM(T162:X162)</f>
        <v>0</v>
      </c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</row>
    <row r="163" spans="1:36" ht="15.75" thickBot="1" x14ac:dyDescent="0.3">
      <c r="A163" s="88"/>
      <c r="B163" s="89"/>
      <c r="C163" s="31"/>
      <c r="D163" s="31"/>
      <c r="E163" s="59"/>
      <c r="F163" s="60"/>
      <c r="G163" s="61"/>
      <c r="H163" s="62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60"/>
      <c r="T163" s="62"/>
      <c r="U163" s="61"/>
      <c r="V163" s="59"/>
      <c r="W163" s="61"/>
      <c r="X163" s="62"/>
      <c r="Y163" s="61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</row>
  </sheetData>
  <mergeCells count="1">
    <mergeCell ref="E19:F23"/>
  </mergeCells>
  <pageMargins left="0.7" right="0.7" top="0.75" bottom="0.75" header="0.3" footer="0.3"/>
  <pageSetup paperSize="9" scale="44" orientation="portrait" horizontalDpi="300" verticalDpi="300" r:id="rId1"/>
  <rowBreaks count="1" manualBreakCount="1">
    <brk id="50" max="16383" man="1"/>
  </rowBreaks>
  <colBreaks count="2" manualBreakCount="2">
    <brk id="6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INDICACIONES</vt:lpstr>
      <vt:lpstr>DATOS BÁSICOS DE PARTIDA</vt:lpstr>
      <vt:lpstr>BARRIDO</vt:lpstr>
      <vt:lpstr>RECOLECCIÓN</vt:lpstr>
      <vt:lpstr>DSIPOSICIÓN FINAL</vt:lpstr>
      <vt:lpstr>BARRIDO!Área_de_impresión</vt:lpstr>
    </vt:vector>
  </TitlesOfParts>
  <Company>Hogar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A. Lima Morra</dc:creator>
  <cp:lastModifiedBy>Claudia Cuevas</cp:lastModifiedBy>
  <dcterms:created xsi:type="dcterms:W3CDTF">2017-08-08T15:14:16Z</dcterms:created>
  <dcterms:modified xsi:type="dcterms:W3CDTF">2020-12-17T16:54:12Z</dcterms:modified>
</cp:coreProperties>
</file>